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MOŠKOLNÍ AKTIVITY\MMR\!SEMINÁŘE PRO EUROCENTRA\KURZY\DOTACE EU A FINANČNÍ ANALÝZA\WEBINÁŘE\2024\WEBINÁŘ_21.11.2024\"/>
    </mc:Choice>
  </mc:AlternateContent>
  <xr:revisionPtr revIDLastSave="0" documentId="13_ncr:1_{2AB0E830-3C0A-43D1-810F-9B824E14B94F}" xr6:coauthVersionLast="47" xr6:coauthVersionMax="47" xr10:uidLastSave="{00000000-0000-0000-0000-000000000000}"/>
  <bookViews>
    <workbookView xWindow="-120" yWindow="-120" windowWidth="77040" windowHeight="21120" activeTab="3" xr2:uid="{00000000-000D-0000-FFFF-FFFF00000000}"/>
  </bookViews>
  <sheets>
    <sheet name="Položkový rozpočet projektu" sheetId="40" r:id="rId1"/>
    <sheet name="Investiční náklady_vznik" sheetId="45" r:id="rId2"/>
    <sheet name="Investiční náklady_úhrada" sheetId="34" r:id="rId3"/>
    <sheet name="Zdroje financování" sheetId="47" r:id="rId4"/>
    <sheet name="Finanční plán (ŽoP)" sheetId="44" r:id="rId5"/>
    <sheet name="Provozní náklady" sheetId="26" r:id="rId6"/>
    <sheet name="Provozní výnosy" sheetId="43" r:id="rId7"/>
    <sheet name="Plán cash flow" sheetId="46" r:id="rId8"/>
    <sheet name="Zakl. ekon. ukazatele" sheetId="49" r:id="rId9"/>
    <sheet name="Tržby" sheetId="48" r:id="rId10"/>
    <sheet name="Finanční analýza" sheetId="51" r:id="rId11"/>
    <sheet name="Odběratelé_Dodavaté_Odbyt" sheetId="52" r:id="rId12"/>
  </sheets>
  <externalReferences>
    <externalReference r:id="rId13"/>
    <externalReference r:id="rId14"/>
  </externalReferences>
  <definedNames>
    <definedName name="_xlnm.Print_Area" localSheetId="10">'Finanční analýza'!$A$1:$P$32</definedName>
    <definedName name="_xlnm.Print_Area" localSheetId="4">'Finanční plán (ŽoP)'!$A$1:$N$23</definedName>
    <definedName name="_xlnm.Print_Area" localSheetId="2">'Investiční náklady_úhrada'!$A$1:$C$30</definedName>
    <definedName name="_xlnm.Print_Area" localSheetId="1">'Investiční náklady_vznik'!$A$1:$C$45</definedName>
    <definedName name="_xlnm.Print_Area" localSheetId="7">'Plán cash flow'!$A$1:$P$1</definedName>
    <definedName name="_xlnm.Print_Area" localSheetId="5">'Provozní náklady'!$A$1:$M$51</definedName>
    <definedName name="_xlnm.Print_Area" localSheetId="6">'Provozní výnosy'!$A$1:$M$15</definedName>
    <definedName name="_xlnm.Print_Area" localSheetId="3">'Zdroje financování'!$A$1:$L$38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4" l="1"/>
  <c r="C19" i="45"/>
  <c r="F10" i="44"/>
  <c r="D10" i="47"/>
  <c r="D16" i="47"/>
  <c r="C10" i="47"/>
  <c r="F9" i="47"/>
  <c r="G9" i="47"/>
  <c r="H9" i="47"/>
  <c r="I9" i="47"/>
  <c r="J9" i="47"/>
  <c r="K9" i="47"/>
  <c r="L9" i="47"/>
  <c r="M9" i="47"/>
  <c r="E9" i="47"/>
  <c r="D13" i="47"/>
  <c r="C13" i="43"/>
  <c r="C45" i="43" s="1"/>
  <c r="C25" i="43"/>
  <c r="C12" i="43"/>
  <c r="C44" i="43" s="1"/>
  <c r="C11" i="43"/>
  <c r="C43" i="43" s="1"/>
  <c r="C10" i="43"/>
  <c r="C42" i="43" s="1"/>
  <c r="C141" i="26"/>
  <c r="C131" i="26"/>
  <c r="C130" i="26"/>
  <c r="I55" i="26"/>
  <c r="C49" i="26"/>
  <c r="C169" i="26" s="1"/>
  <c r="C47" i="26"/>
  <c r="C45" i="26" s="1"/>
  <c r="C43" i="26" s="1"/>
  <c r="C41" i="26"/>
  <c r="C39" i="26"/>
  <c r="C159" i="26" s="1"/>
  <c r="C37" i="26"/>
  <c r="C157" i="26" s="1"/>
  <c r="C35" i="26"/>
  <c r="C155" i="26" s="1"/>
  <c r="C33" i="26"/>
  <c r="C153" i="26" s="1"/>
  <c r="C13" i="26"/>
  <c r="C133" i="26" s="1"/>
  <c r="C29" i="26"/>
  <c r="C149" i="26" s="1"/>
  <c r="C27" i="26"/>
  <c r="C147" i="26" s="1"/>
  <c r="C21" i="26"/>
  <c r="C11" i="26"/>
  <c r="C10" i="26"/>
  <c r="C9" i="43" l="1"/>
  <c r="C41" i="43"/>
  <c r="C167" i="26"/>
  <c r="C31" i="43"/>
  <c r="W39" i="47"/>
  <c r="W40" i="47"/>
  <c r="W41" i="47"/>
  <c r="W42" i="47"/>
  <c r="W43" i="47"/>
  <c r="W38" i="47"/>
  <c r="C15" i="43" l="1"/>
  <c r="C47" i="43"/>
  <c r="K52" i="52" l="1"/>
  <c r="I52" i="52"/>
  <c r="G52" i="52"/>
  <c r="E52" i="52"/>
  <c r="B52" i="52"/>
  <c r="E36" i="52"/>
  <c r="D36" i="52"/>
  <c r="C36" i="52"/>
  <c r="B36" i="52"/>
  <c r="C24" i="52"/>
  <c r="C25" i="52" s="1"/>
  <c r="U18" i="52"/>
  <c r="U27" i="52" s="1"/>
  <c r="S18" i="52"/>
  <c r="S27" i="52" s="1"/>
  <c r="Q18" i="52"/>
  <c r="Q27" i="52" s="1"/>
  <c r="O18" i="52"/>
  <c r="O27" i="52" s="1"/>
  <c r="M18" i="52"/>
  <c r="M27" i="52" s="1"/>
  <c r="K18" i="52"/>
  <c r="K27" i="52" s="1"/>
  <c r="I18" i="52"/>
  <c r="I27" i="52" s="1"/>
  <c r="G18" i="52"/>
  <c r="G27" i="52" s="1"/>
  <c r="E18" i="52"/>
  <c r="E27" i="52" s="1"/>
  <c r="B18" i="52"/>
  <c r="B27" i="52" s="1"/>
  <c r="A1" i="52"/>
  <c r="F36" i="52" l="1"/>
  <c r="G36" i="52" s="1"/>
  <c r="C27" i="52"/>
  <c r="C18" i="52"/>
  <c r="H36" i="52"/>
  <c r="J35" i="52"/>
  <c r="W73" i="26"/>
  <c r="W68" i="26"/>
  <c r="I26" i="43"/>
  <c r="J26" i="43" s="1"/>
  <c r="K26" i="43" s="1"/>
  <c r="L26" i="43" s="1"/>
  <c r="M26" i="43" s="1"/>
  <c r="H26" i="43"/>
  <c r="G26" i="43"/>
  <c r="F26" i="43"/>
  <c r="E26" i="43"/>
  <c r="F31" i="49"/>
  <c r="G31" i="49"/>
  <c r="H29" i="49"/>
  <c r="H13" i="49" s="1"/>
  <c r="D26" i="43"/>
  <c r="C118" i="26"/>
  <c r="M107" i="26"/>
  <c r="L134" i="51" s="1"/>
  <c r="C105" i="26"/>
  <c r="C101" i="26"/>
  <c r="C161" i="26" s="1"/>
  <c r="E97" i="26"/>
  <c r="D97" i="26"/>
  <c r="W95" i="26"/>
  <c r="E95" i="26" s="1"/>
  <c r="F95" i="26" s="1"/>
  <c r="G95" i="26" s="1"/>
  <c r="H95" i="26" s="1"/>
  <c r="I95" i="26" s="1"/>
  <c r="J95" i="26" s="1"/>
  <c r="K95" i="26" s="1"/>
  <c r="L95" i="26" s="1"/>
  <c r="M95" i="26" s="1"/>
  <c r="W89" i="26"/>
  <c r="E89" i="26" s="1"/>
  <c r="F89" i="26" s="1"/>
  <c r="G89" i="26" s="1"/>
  <c r="H89" i="26" s="1"/>
  <c r="I89" i="26" s="1"/>
  <c r="C85" i="26"/>
  <c r="C83" i="26"/>
  <c r="C79" i="26"/>
  <c r="C77" i="26"/>
  <c r="C72" i="26"/>
  <c r="D70" i="26"/>
  <c r="W67" i="26"/>
  <c r="E70" i="26"/>
  <c r="C69" i="26" l="1"/>
  <c r="C129" i="26" s="1"/>
  <c r="C12" i="26"/>
  <c r="C9" i="26" s="1"/>
  <c r="C103" i="26"/>
  <c r="C163" i="26" s="1"/>
  <c r="C165" i="26"/>
  <c r="C17" i="26"/>
  <c r="C137" i="26"/>
  <c r="W79" i="26"/>
  <c r="E79" i="26" s="1"/>
  <c r="F79" i="26" s="1"/>
  <c r="G79" i="26" s="1"/>
  <c r="H79" i="26" s="1"/>
  <c r="I79" i="26" s="1"/>
  <c r="J79" i="26" s="1"/>
  <c r="K79" i="26" s="1"/>
  <c r="L79" i="26" s="1"/>
  <c r="M79" i="26" s="1"/>
  <c r="C19" i="26"/>
  <c r="C139" i="26" s="1"/>
  <c r="W85" i="26"/>
  <c r="D85" i="26" s="1"/>
  <c r="C25" i="26"/>
  <c r="C145" i="26" s="1"/>
  <c r="W83" i="26"/>
  <c r="D83" i="26" s="1"/>
  <c r="C23" i="26"/>
  <c r="C143" i="26" s="1"/>
  <c r="C10" i="52"/>
  <c r="C9" i="52"/>
  <c r="C75" i="26"/>
  <c r="D95" i="26"/>
  <c r="C119" i="26"/>
  <c r="W69" i="26"/>
  <c r="E71" i="26" s="1"/>
  <c r="F71" i="26" s="1"/>
  <c r="G71" i="26" s="1"/>
  <c r="H71" i="26" s="1"/>
  <c r="I71" i="26" s="1"/>
  <c r="J71" i="26" s="1"/>
  <c r="K71" i="26" s="1"/>
  <c r="L71" i="26" s="1"/>
  <c r="M71" i="26" s="1"/>
  <c r="W77" i="26"/>
  <c r="J89" i="26"/>
  <c r="K89" i="26" s="1"/>
  <c r="L89" i="26" s="1"/>
  <c r="M89" i="26" s="1"/>
  <c r="D79" i="26" l="1"/>
  <c r="C91" i="26"/>
  <c r="C132" i="26"/>
  <c r="C15" i="26"/>
  <c r="C135" i="26" s="1"/>
  <c r="E85" i="26"/>
  <c r="E83" i="26"/>
  <c r="F83" i="26" s="1"/>
  <c r="G83" i="26" s="1"/>
  <c r="H83" i="26" s="1"/>
  <c r="I83" i="26" s="1"/>
  <c r="J83" i="26" s="1"/>
  <c r="K83" i="26" s="1"/>
  <c r="L83" i="26" s="1"/>
  <c r="M83" i="26" s="1"/>
  <c r="D71" i="26"/>
  <c r="C111" i="26"/>
  <c r="C113" i="26" s="1"/>
  <c r="D36" i="34"/>
  <c r="D14" i="34"/>
  <c r="D13" i="34"/>
  <c r="E12" i="34"/>
  <c r="E11" i="34"/>
  <c r="E10" i="34"/>
  <c r="C9" i="34"/>
  <c r="E9" i="34" s="1"/>
  <c r="C8" i="34"/>
  <c r="E8" i="34" s="1"/>
  <c r="G13" i="34" s="1"/>
  <c r="D40" i="34" s="1"/>
  <c r="C7" i="34"/>
  <c r="C51" i="26" l="1"/>
  <c r="C53" i="26" s="1"/>
  <c r="C13" i="34"/>
  <c r="F13" i="34" s="1"/>
  <c r="C31" i="26"/>
  <c r="C171" i="26"/>
  <c r="C120" i="26"/>
  <c r="C151" i="26"/>
  <c r="C36" i="34"/>
  <c r="E36" i="34" s="1"/>
  <c r="E7" i="34"/>
  <c r="E13" i="34" s="1"/>
  <c r="E19" i="34"/>
  <c r="G13" i="44" l="1"/>
  <c r="Z47" i="43" l="1"/>
  <c r="Z42" i="43" l="1"/>
  <c r="Z43" i="43" s="1"/>
  <c r="G44" i="49" l="1"/>
  <c r="U33" i="49" l="1"/>
  <c r="Z44" i="43" l="1"/>
  <c r="Z45" i="43" s="1"/>
  <c r="Z46" i="43" l="1"/>
  <c r="Z48" i="43" s="1"/>
  <c r="Z50" i="43" s="1"/>
  <c r="S43" i="47" l="1"/>
  <c r="S32" i="47"/>
  <c r="S31" i="47"/>
  <c r="S21" i="47"/>
  <c r="S20" i="47"/>
  <c r="O41" i="47"/>
  <c r="S19" i="47" l="1"/>
  <c r="G10" i="49"/>
  <c r="G11" i="49"/>
  <c r="G12" i="49"/>
  <c r="G13" i="49"/>
  <c r="G14" i="49"/>
  <c r="G15" i="49"/>
  <c r="G16" i="49"/>
  <c r="G9" i="49"/>
  <c r="I24" i="52" s="1"/>
  <c r="I25" i="52" s="1"/>
  <c r="J14" i="52" l="1"/>
  <c r="J45" i="52"/>
  <c r="J15" i="52"/>
  <c r="J51" i="52"/>
  <c r="J46" i="52"/>
  <c r="J10" i="52"/>
  <c r="J17" i="52"/>
  <c r="J11" i="52"/>
  <c r="J50" i="52"/>
  <c r="J48" i="52"/>
  <c r="J13" i="52"/>
  <c r="J16" i="52"/>
  <c r="J49" i="52"/>
  <c r="J27" i="52"/>
  <c r="J9" i="52"/>
  <c r="J12" i="52"/>
  <c r="J47" i="52"/>
  <c r="I29" i="49"/>
  <c r="I13" i="49" s="1"/>
  <c r="N90" i="49"/>
  <c r="N76" i="49"/>
  <c r="F61" i="49"/>
  <c r="F62" i="49"/>
  <c r="F63" i="49"/>
  <c r="F64" i="49"/>
  <c r="F65" i="49"/>
  <c r="F66" i="49"/>
  <c r="F67" i="49"/>
  <c r="F60" i="49"/>
  <c r="J18" i="52" l="1"/>
  <c r="J52" i="52"/>
  <c r="J29" i="49"/>
  <c r="J13" i="49" s="1"/>
  <c r="K29" i="49" l="1"/>
  <c r="K13" i="49" s="1"/>
  <c r="U34" i="49"/>
  <c r="U32" i="49"/>
  <c r="U31" i="49"/>
  <c r="U30" i="49"/>
  <c r="U29" i="49"/>
  <c r="U28" i="49"/>
  <c r="U27" i="49"/>
  <c r="F10" i="49"/>
  <c r="F11" i="49"/>
  <c r="F12" i="49"/>
  <c r="F13" i="49"/>
  <c r="F14" i="49"/>
  <c r="F15" i="49"/>
  <c r="F16" i="49"/>
  <c r="F9" i="49"/>
  <c r="G24" i="52" s="1"/>
  <c r="G25" i="52" s="1"/>
  <c r="F33" i="49"/>
  <c r="F68" i="49" s="1"/>
  <c r="E10" i="49"/>
  <c r="E11" i="49"/>
  <c r="E12" i="49"/>
  <c r="E13" i="49"/>
  <c r="E14" i="49"/>
  <c r="E15" i="49"/>
  <c r="E16" i="49"/>
  <c r="E9" i="49"/>
  <c r="E24" i="52" s="1"/>
  <c r="E25" i="52" s="1"/>
  <c r="D10" i="49"/>
  <c r="D11" i="49"/>
  <c r="D12" i="49"/>
  <c r="D13" i="49"/>
  <c r="D14" i="49"/>
  <c r="D15" i="49"/>
  <c r="D16" i="49"/>
  <c r="D9" i="49"/>
  <c r="D33" i="49"/>
  <c r="D17" i="49" s="1"/>
  <c r="E33" i="49"/>
  <c r="E17" i="49" s="1"/>
  <c r="C10" i="49"/>
  <c r="C11" i="49"/>
  <c r="C12" i="49"/>
  <c r="C13" i="49"/>
  <c r="C14" i="49"/>
  <c r="C15" i="49"/>
  <c r="C16" i="49"/>
  <c r="C9" i="49"/>
  <c r="C33" i="49"/>
  <c r="C17" i="49" s="1"/>
  <c r="H50" i="52" l="1"/>
  <c r="H15" i="52"/>
  <c r="H10" i="52"/>
  <c r="H13" i="52"/>
  <c r="H49" i="52"/>
  <c r="H11" i="52"/>
  <c r="H16" i="52"/>
  <c r="H12" i="52"/>
  <c r="H48" i="52"/>
  <c r="H27" i="52"/>
  <c r="H9" i="52"/>
  <c r="H51" i="52"/>
  <c r="H47" i="52"/>
  <c r="H14" i="52"/>
  <c r="H17" i="52"/>
  <c r="F46" i="52"/>
  <c r="F13" i="52"/>
  <c r="F17" i="52"/>
  <c r="F27" i="52"/>
  <c r="F14" i="52"/>
  <c r="F10" i="52"/>
  <c r="F47" i="52"/>
  <c r="F51" i="52"/>
  <c r="F12" i="52"/>
  <c r="F45" i="52"/>
  <c r="F15" i="52"/>
  <c r="F48" i="52"/>
  <c r="F9" i="52"/>
  <c r="F11" i="52"/>
  <c r="F49" i="52"/>
  <c r="F50" i="52"/>
  <c r="F16" i="52"/>
  <c r="L29" i="49"/>
  <c r="L13" i="49" s="1"/>
  <c r="F17" i="49"/>
  <c r="F18" i="52" l="1"/>
  <c r="H18" i="52"/>
  <c r="M29" i="49"/>
  <c r="M13" i="49" s="1"/>
  <c r="D87" i="26"/>
  <c r="E87" i="26"/>
  <c r="D81" i="26"/>
  <c r="D73" i="26"/>
  <c r="D77" i="26"/>
  <c r="E73" i="26"/>
  <c r="F73" i="26" s="1"/>
  <c r="G73" i="26" s="1"/>
  <c r="H73" i="26" s="1"/>
  <c r="I73" i="26" s="1"/>
  <c r="J73" i="26" s="1"/>
  <c r="K73" i="26" s="1"/>
  <c r="L73" i="26" s="1"/>
  <c r="M73" i="26" s="1"/>
  <c r="H64" i="49"/>
  <c r="D49" i="26"/>
  <c r="D47" i="26"/>
  <c r="E47" i="26"/>
  <c r="F47" i="26" s="1"/>
  <c r="G47" i="26" s="1"/>
  <c r="D109" i="26"/>
  <c r="F22" i="40" l="1"/>
  <c r="D26" i="34" s="1"/>
  <c r="E14" i="40"/>
  <c r="D14" i="40"/>
  <c r="F15" i="40"/>
  <c r="D43" i="34" l="1"/>
  <c r="C26" i="34"/>
  <c r="H15" i="40"/>
  <c r="J15" i="40" s="1"/>
  <c r="F14" i="40"/>
  <c r="D21" i="34" s="1"/>
  <c r="D38" i="34" l="1"/>
  <c r="C21" i="34"/>
  <c r="C43" i="34"/>
  <c r="E43" i="34" s="1"/>
  <c r="E26" i="34"/>
  <c r="D38" i="47"/>
  <c r="G38" i="47" s="1"/>
  <c r="E21" i="34" l="1"/>
  <c r="C38" i="34"/>
  <c r="E38" i="34" s="1"/>
  <c r="D279" i="51"/>
  <c r="E279" i="51"/>
  <c r="F279" i="51"/>
  <c r="G279" i="51"/>
  <c r="H279" i="51"/>
  <c r="I279" i="51"/>
  <c r="J279" i="51"/>
  <c r="K279" i="51"/>
  <c r="L279" i="51"/>
  <c r="D246" i="51"/>
  <c r="E246" i="51"/>
  <c r="F246" i="51"/>
  <c r="G246" i="51"/>
  <c r="H246" i="51"/>
  <c r="I246" i="51"/>
  <c r="J246" i="51"/>
  <c r="K246" i="51"/>
  <c r="L246" i="51"/>
  <c r="D213" i="51"/>
  <c r="E213" i="51"/>
  <c r="F213" i="51"/>
  <c r="G213" i="51"/>
  <c r="H213" i="51"/>
  <c r="I213" i="51"/>
  <c r="J213" i="51"/>
  <c r="K213" i="51"/>
  <c r="L213" i="51"/>
  <c r="L147" i="51" l="1"/>
  <c r="L148" i="51"/>
  <c r="K148" i="51"/>
  <c r="J148" i="51"/>
  <c r="I148" i="51"/>
  <c r="H148" i="51"/>
  <c r="G148" i="51"/>
  <c r="F148" i="51"/>
  <c r="E148" i="51"/>
  <c r="D148" i="51"/>
  <c r="C148" i="51"/>
  <c r="L90" i="51"/>
  <c r="M90" i="51" s="1"/>
  <c r="L89" i="51"/>
  <c r="K89" i="51"/>
  <c r="J89" i="51"/>
  <c r="I89" i="51"/>
  <c r="H89" i="51"/>
  <c r="G89" i="51"/>
  <c r="F89" i="51"/>
  <c r="E89" i="51"/>
  <c r="D89" i="51"/>
  <c r="M77" i="51"/>
  <c r="L61" i="51"/>
  <c r="M61" i="51" s="1"/>
  <c r="L60" i="51"/>
  <c r="K60" i="51"/>
  <c r="J60" i="51"/>
  <c r="I60" i="51"/>
  <c r="H60" i="51"/>
  <c r="G60" i="51"/>
  <c r="F60" i="51"/>
  <c r="E60" i="51"/>
  <c r="D60" i="51"/>
  <c r="M48" i="51"/>
  <c r="L32" i="51"/>
  <c r="M32" i="51" s="1"/>
  <c r="D31" i="51"/>
  <c r="E31" i="51"/>
  <c r="F31" i="51"/>
  <c r="G31" i="51"/>
  <c r="H31" i="51"/>
  <c r="I31" i="51"/>
  <c r="J31" i="51"/>
  <c r="K31" i="51"/>
  <c r="L31" i="51"/>
  <c r="M17" i="51"/>
  <c r="A1" i="51"/>
  <c r="M148" i="51" l="1"/>
  <c r="L149" i="51"/>
  <c r="M135" i="51"/>
  <c r="L136" i="51"/>
  <c r="L248" i="51" s="1"/>
  <c r="C31" i="47"/>
  <c r="F99" i="47"/>
  <c r="F100" i="47"/>
  <c r="F98" i="47"/>
  <c r="F86" i="47"/>
  <c r="F87" i="47"/>
  <c r="F88" i="47"/>
  <c r="F89" i="47"/>
  <c r="F90" i="47"/>
  <c r="F91" i="47"/>
  <c r="F92" i="47"/>
  <c r="F93" i="47"/>
  <c r="F94" i="47"/>
  <c r="F95" i="47"/>
  <c r="F96" i="47"/>
  <c r="F85" i="47"/>
  <c r="F73" i="47"/>
  <c r="F74" i="47"/>
  <c r="F75" i="47"/>
  <c r="F76" i="47"/>
  <c r="F77" i="47"/>
  <c r="F78" i="47"/>
  <c r="F79" i="47"/>
  <c r="F80" i="47"/>
  <c r="F81" i="47"/>
  <c r="F82" i="47"/>
  <c r="F83" i="47"/>
  <c r="F72" i="47"/>
  <c r="F60" i="47"/>
  <c r="F61" i="47"/>
  <c r="F62" i="47"/>
  <c r="F63" i="47"/>
  <c r="F64" i="47"/>
  <c r="F65" i="47"/>
  <c r="F66" i="47"/>
  <c r="F67" i="47"/>
  <c r="F68" i="47"/>
  <c r="F69" i="47"/>
  <c r="F70" i="47"/>
  <c r="F59" i="47"/>
  <c r="F50" i="47"/>
  <c r="F51" i="47"/>
  <c r="F52" i="47"/>
  <c r="F53" i="47"/>
  <c r="F54" i="47"/>
  <c r="F55" i="47"/>
  <c r="F56" i="47"/>
  <c r="F57" i="47"/>
  <c r="F49" i="47"/>
  <c r="F105" i="47"/>
  <c r="D36" i="45" l="1"/>
  <c r="L107" i="26" l="1"/>
  <c r="K134" i="51" s="1"/>
  <c r="G9" i="44"/>
  <c r="I28" i="47"/>
  <c r="J28" i="47"/>
  <c r="K28" i="47"/>
  <c r="L28" i="47"/>
  <c r="I30" i="47"/>
  <c r="J30" i="47"/>
  <c r="K30" i="47"/>
  <c r="L30" i="47"/>
  <c r="O15" i="47"/>
  <c r="K147" i="51" l="1"/>
  <c r="K149" i="51" s="1"/>
  <c r="L33" i="47"/>
  <c r="K33" i="47"/>
  <c r="J33" i="47"/>
  <c r="I33" i="47"/>
  <c r="K136" i="51" l="1"/>
  <c r="K248" i="51" s="1"/>
  <c r="N13" i="43" l="1"/>
  <c r="N71" i="26" l="1"/>
  <c r="N44" i="26"/>
  <c r="F41" i="49" l="1"/>
  <c r="F42" i="49" s="1"/>
  <c r="F44" i="49"/>
  <c r="E99" i="26" l="1"/>
  <c r="F99" i="26" s="1"/>
  <c r="G99" i="26" l="1"/>
  <c r="H99" i="26" s="1"/>
  <c r="I99" i="26" s="1"/>
  <c r="J99" i="26" s="1"/>
  <c r="K99" i="26" s="1"/>
  <c r="L99" i="26" s="1"/>
  <c r="M99" i="26" s="1"/>
  <c r="J107" i="26"/>
  <c r="I134" i="51" s="1"/>
  <c r="K107" i="26"/>
  <c r="J134" i="51" s="1"/>
  <c r="F101" i="47"/>
  <c r="H31" i="47" s="1"/>
  <c r="H101" i="47"/>
  <c r="H32" i="47" s="1"/>
  <c r="H97" i="47"/>
  <c r="G32" i="47" s="1"/>
  <c r="F97" i="47"/>
  <c r="G31" i="47" s="1"/>
  <c r="H84" i="47"/>
  <c r="F32" i="47" s="1"/>
  <c r="F84" i="47"/>
  <c r="F31" i="47" s="1"/>
  <c r="H71" i="47"/>
  <c r="E32" i="47" s="1"/>
  <c r="F71" i="47"/>
  <c r="E31" i="47" s="1"/>
  <c r="H58" i="47"/>
  <c r="F58" i="47"/>
  <c r="D31" i="47" s="1"/>
  <c r="H45" i="47"/>
  <c r="C32" i="47" s="1"/>
  <c r="F45" i="47"/>
  <c r="D32" i="47" l="1"/>
  <c r="D30" i="47" s="1"/>
  <c r="E107" i="26"/>
  <c r="D134" i="51" s="1"/>
  <c r="J136" i="51"/>
  <c r="J248" i="51" s="1"/>
  <c r="I147" i="51"/>
  <c r="I149" i="51" s="1"/>
  <c r="J105" i="26"/>
  <c r="F30" i="47"/>
  <c r="H30" i="47"/>
  <c r="N31" i="47"/>
  <c r="C30" i="47"/>
  <c r="E30" i="47"/>
  <c r="G30" i="47"/>
  <c r="D107" i="26"/>
  <c r="E109" i="26"/>
  <c r="I84" i="47"/>
  <c r="I107" i="26"/>
  <c r="H134" i="51" s="1"/>
  <c r="H107" i="26"/>
  <c r="G134" i="51" s="1"/>
  <c r="G107" i="26"/>
  <c r="F134" i="51" s="1"/>
  <c r="F107" i="26"/>
  <c r="E134" i="51" s="1"/>
  <c r="F109" i="26"/>
  <c r="H109" i="26"/>
  <c r="G109" i="26"/>
  <c r="I109" i="26"/>
  <c r="I71" i="47"/>
  <c r="N99" i="26"/>
  <c r="I101" i="47"/>
  <c r="I58" i="47"/>
  <c r="I97" i="47"/>
  <c r="F103" i="47"/>
  <c r="F106" i="47" s="1"/>
  <c r="I45" i="47"/>
  <c r="C29" i="47" s="1"/>
  <c r="H103" i="47"/>
  <c r="H106" i="47" s="1"/>
  <c r="N32" i="47" l="1"/>
  <c r="D105" i="26"/>
  <c r="C134" i="51"/>
  <c r="E105" i="26"/>
  <c r="J147" i="51"/>
  <c r="J149" i="51" s="1"/>
  <c r="I136" i="51"/>
  <c r="I248" i="51" s="1"/>
  <c r="H105" i="26"/>
  <c r="F105" i="26"/>
  <c r="I105" i="26"/>
  <c r="G105" i="26"/>
  <c r="L106" i="47"/>
  <c r="N30" i="47"/>
  <c r="E29" i="47"/>
  <c r="E28" i="47" s="1"/>
  <c r="E33" i="47" s="1"/>
  <c r="N107" i="26"/>
  <c r="G29" i="47"/>
  <c r="G28" i="47" s="1"/>
  <c r="G33" i="47" s="1"/>
  <c r="D29" i="47"/>
  <c r="D28" i="47" s="1"/>
  <c r="D33" i="47" s="1"/>
  <c r="H29" i="47"/>
  <c r="H28" i="47" s="1"/>
  <c r="H33" i="47" s="1"/>
  <c r="F29" i="47"/>
  <c r="F28" i="47" s="1"/>
  <c r="F33" i="47" s="1"/>
  <c r="I103" i="47"/>
  <c r="I106" i="47" s="1"/>
  <c r="L103" i="47"/>
  <c r="E28" i="43"/>
  <c r="D28" i="43" s="1"/>
  <c r="E27" i="43"/>
  <c r="E12" i="43"/>
  <c r="D12" i="43" s="1"/>
  <c r="E11" i="43"/>
  <c r="D11" i="43" s="1"/>
  <c r="E10" i="43"/>
  <c r="H147" i="51" l="1"/>
  <c r="H149" i="51" s="1"/>
  <c r="H136" i="51"/>
  <c r="H248" i="51" s="1"/>
  <c r="F147" i="51"/>
  <c r="F149" i="51" s="1"/>
  <c r="F136" i="51"/>
  <c r="F248" i="51" s="1"/>
  <c r="G147" i="51"/>
  <c r="G149" i="51" s="1"/>
  <c r="G136" i="51"/>
  <c r="G248" i="51" s="1"/>
  <c r="E147" i="51"/>
  <c r="E149" i="51" s="1"/>
  <c r="E136" i="51"/>
  <c r="E248" i="51" s="1"/>
  <c r="D147" i="51"/>
  <c r="D149" i="51" s="1"/>
  <c r="D136" i="51"/>
  <c r="D248" i="51" s="1"/>
  <c r="C147" i="51"/>
  <c r="C136" i="51"/>
  <c r="M134" i="51"/>
  <c r="N136" i="51" s="1"/>
  <c r="F27" i="43"/>
  <c r="N29" i="47"/>
  <c r="D10" i="43"/>
  <c r="F10" i="43"/>
  <c r="G10" i="43" s="1"/>
  <c r="H10" i="43" s="1"/>
  <c r="I10" i="43" s="1"/>
  <c r="J10" i="43" s="1"/>
  <c r="K10" i="43" s="1"/>
  <c r="L10" i="43" s="1"/>
  <c r="M10" i="43" s="1"/>
  <c r="F12" i="43"/>
  <c r="G12" i="43" s="1"/>
  <c r="H12" i="43" s="1"/>
  <c r="I12" i="43" s="1"/>
  <c r="J12" i="43" s="1"/>
  <c r="K12" i="43" s="1"/>
  <c r="L12" i="43" s="1"/>
  <c r="M12" i="43" s="1"/>
  <c r="D27" i="43"/>
  <c r="F11" i="43"/>
  <c r="G11" i="43" s="1"/>
  <c r="H11" i="43" s="1"/>
  <c r="I11" i="43" s="1"/>
  <c r="J11" i="43" s="1"/>
  <c r="K11" i="43" s="1"/>
  <c r="L11" i="43" s="1"/>
  <c r="M11" i="43" s="1"/>
  <c r="F28" i="43"/>
  <c r="G28" i="43" s="1"/>
  <c r="H28" i="43" s="1"/>
  <c r="I28" i="43" s="1"/>
  <c r="J28" i="43" s="1"/>
  <c r="K28" i="43" s="1"/>
  <c r="L28" i="43" s="1"/>
  <c r="M28" i="43" s="1"/>
  <c r="E81" i="26"/>
  <c r="E77" i="26"/>
  <c r="E49" i="26"/>
  <c r="D108" i="51" s="1"/>
  <c r="D107" i="51"/>
  <c r="D161" i="51" s="1"/>
  <c r="E39" i="26"/>
  <c r="E37" i="26"/>
  <c r="E35" i="26"/>
  <c r="F35" i="26" s="1"/>
  <c r="G35" i="26" s="1"/>
  <c r="H35" i="26" s="1"/>
  <c r="I35" i="26" s="1"/>
  <c r="J35" i="26" s="1"/>
  <c r="K35" i="26" s="1"/>
  <c r="L35" i="26" s="1"/>
  <c r="M35" i="26" s="1"/>
  <c r="E29" i="26"/>
  <c r="E27" i="26"/>
  <c r="F27" i="26" s="1"/>
  <c r="E25" i="26"/>
  <c r="E23" i="26"/>
  <c r="E21" i="26"/>
  <c r="E19" i="26"/>
  <c r="E17" i="26"/>
  <c r="E13" i="26"/>
  <c r="D13" i="26" s="1"/>
  <c r="E11" i="26"/>
  <c r="D11" i="26" s="1"/>
  <c r="D10" i="26"/>
  <c r="D121" i="51" l="1"/>
  <c r="D162" i="51"/>
  <c r="D173" i="51" s="1"/>
  <c r="D120" i="51"/>
  <c r="D109" i="51"/>
  <c r="D215" i="51" s="1"/>
  <c r="M147" i="51"/>
  <c r="N149" i="51" s="1"/>
  <c r="C149" i="51"/>
  <c r="M149" i="51" s="1"/>
  <c r="D172" i="51"/>
  <c r="C248" i="51"/>
  <c r="M248" i="51" s="1"/>
  <c r="M136" i="51"/>
  <c r="F87" i="26"/>
  <c r="G27" i="43"/>
  <c r="E141" i="26"/>
  <c r="E143" i="26"/>
  <c r="E137" i="26"/>
  <c r="E145" i="26"/>
  <c r="E139" i="26"/>
  <c r="N28" i="43"/>
  <c r="N11" i="43"/>
  <c r="N12" i="43"/>
  <c r="N10" i="43"/>
  <c r="D21" i="26"/>
  <c r="F21" i="26"/>
  <c r="F81" i="26"/>
  <c r="G81" i="26" s="1"/>
  <c r="H81" i="26" s="1"/>
  <c r="I81" i="26" s="1"/>
  <c r="J81" i="26" s="1"/>
  <c r="K81" i="26" s="1"/>
  <c r="L81" i="26" s="1"/>
  <c r="M81" i="26" s="1"/>
  <c r="F11" i="26"/>
  <c r="G11" i="26" s="1"/>
  <c r="H11" i="26" s="1"/>
  <c r="I11" i="26" s="1"/>
  <c r="J11" i="26" s="1"/>
  <c r="K11" i="26" s="1"/>
  <c r="L11" i="26" s="1"/>
  <c r="M11" i="26" s="1"/>
  <c r="F23" i="26"/>
  <c r="D23" i="26"/>
  <c r="F17" i="26"/>
  <c r="D17" i="26"/>
  <c r="F25" i="26"/>
  <c r="D25" i="26"/>
  <c r="F77" i="26"/>
  <c r="G77" i="26" s="1"/>
  <c r="H77" i="26" s="1"/>
  <c r="I77" i="26" s="1"/>
  <c r="J77" i="26" s="1"/>
  <c r="K77" i="26" s="1"/>
  <c r="L77" i="26" s="1"/>
  <c r="M77" i="26" s="1"/>
  <c r="F85" i="26"/>
  <c r="G85" i="26" s="1"/>
  <c r="H85" i="26" s="1"/>
  <c r="I85" i="26" s="1"/>
  <c r="J85" i="26" s="1"/>
  <c r="K85" i="26" s="1"/>
  <c r="L85" i="26" s="1"/>
  <c r="M85" i="26" s="1"/>
  <c r="D19" i="26"/>
  <c r="F19" i="26"/>
  <c r="F13" i="26"/>
  <c r="G13" i="26" s="1"/>
  <c r="H13" i="26" s="1"/>
  <c r="I13" i="26" s="1"/>
  <c r="J13" i="26" s="1"/>
  <c r="K13" i="26" s="1"/>
  <c r="L13" i="26" s="1"/>
  <c r="M13" i="26" s="1"/>
  <c r="N13" i="26" l="1"/>
  <c r="D163" i="51"/>
  <c r="D281" i="51" s="1"/>
  <c r="N81" i="26"/>
  <c r="D174" i="51"/>
  <c r="N77" i="26"/>
  <c r="N85" i="26"/>
  <c r="N79" i="26"/>
  <c r="D122" i="51"/>
  <c r="G87" i="26"/>
  <c r="H27" i="43"/>
  <c r="D139" i="26"/>
  <c r="D137" i="26"/>
  <c r="D145" i="26"/>
  <c r="G25" i="26"/>
  <c r="F145" i="26"/>
  <c r="G23" i="26"/>
  <c r="F143" i="26"/>
  <c r="G21" i="26"/>
  <c r="F141" i="26"/>
  <c r="G19" i="26"/>
  <c r="F139" i="26"/>
  <c r="D141" i="26"/>
  <c r="G17" i="26"/>
  <c r="F137" i="26"/>
  <c r="H87" i="26" l="1"/>
  <c r="I87" i="26" s="1"/>
  <c r="I27" i="43"/>
  <c r="H19" i="26"/>
  <c r="G139" i="26"/>
  <c r="H23" i="26"/>
  <c r="G143" i="26"/>
  <c r="H21" i="26"/>
  <c r="G141" i="26"/>
  <c r="H25" i="26"/>
  <c r="G145" i="26"/>
  <c r="H17" i="26"/>
  <c r="G137" i="26"/>
  <c r="J27" i="43" l="1"/>
  <c r="C28" i="47"/>
  <c r="C33" i="47" s="1"/>
  <c r="I21" i="26"/>
  <c r="H141" i="26"/>
  <c r="I19" i="26"/>
  <c r="H139" i="26"/>
  <c r="I25" i="26"/>
  <c r="H145" i="26"/>
  <c r="I23" i="26"/>
  <c r="H143" i="26"/>
  <c r="I17" i="26"/>
  <c r="H137" i="26"/>
  <c r="F9" i="40"/>
  <c r="F10" i="40"/>
  <c r="H10" i="40" s="1"/>
  <c r="F11" i="40"/>
  <c r="H11" i="40" s="1"/>
  <c r="F12" i="40"/>
  <c r="H12" i="40" s="1"/>
  <c r="J12" i="40" s="1"/>
  <c r="F13" i="40"/>
  <c r="H13" i="40" s="1"/>
  <c r="J87" i="26" l="1"/>
  <c r="K27" i="43"/>
  <c r="N28" i="47"/>
  <c r="J23" i="26"/>
  <c r="I143" i="26"/>
  <c r="J25" i="26"/>
  <c r="I145" i="26"/>
  <c r="J19" i="26"/>
  <c r="I139" i="26"/>
  <c r="J21" i="26"/>
  <c r="I141" i="26"/>
  <c r="J17" i="26"/>
  <c r="I137" i="26"/>
  <c r="J13" i="40"/>
  <c r="H9" i="40"/>
  <c r="J9" i="40" s="1"/>
  <c r="J11" i="40"/>
  <c r="J10" i="40"/>
  <c r="C8" i="45" l="1"/>
  <c r="B11" i="46"/>
  <c r="K87" i="26"/>
  <c r="L27" i="43"/>
  <c r="K21" i="26"/>
  <c r="J141" i="26"/>
  <c r="K25" i="26"/>
  <c r="J145" i="26"/>
  <c r="K19" i="26"/>
  <c r="J139" i="26"/>
  <c r="K23" i="26"/>
  <c r="J143" i="26"/>
  <c r="K17" i="26"/>
  <c r="J137" i="26"/>
  <c r="H14" i="40"/>
  <c r="E8" i="48"/>
  <c r="D8" i="48"/>
  <c r="C8" i="48"/>
  <c r="C59" i="48" l="1"/>
  <c r="C67" i="48" s="1"/>
  <c r="E51" i="48"/>
  <c r="E40" i="48"/>
  <c r="E45" i="48"/>
  <c r="L87" i="26"/>
  <c r="M27" i="43"/>
  <c r="L25" i="26"/>
  <c r="K145" i="26"/>
  <c r="L19" i="26"/>
  <c r="K139" i="26"/>
  <c r="L23" i="26"/>
  <c r="K143" i="26"/>
  <c r="L21" i="26"/>
  <c r="K141" i="26"/>
  <c r="L17" i="26"/>
  <c r="K137" i="26"/>
  <c r="J14" i="40"/>
  <c r="F21" i="34" s="1"/>
  <c r="A1" i="49"/>
  <c r="F81" i="49"/>
  <c r="F95" i="49" s="1"/>
  <c r="F80" i="49"/>
  <c r="F94" i="49" s="1"/>
  <c r="F77" i="49"/>
  <c r="F91" i="49" s="1"/>
  <c r="F76" i="49"/>
  <c r="F90" i="49" s="1"/>
  <c r="F75" i="49"/>
  <c r="F89" i="49" s="1"/>
  <c r="E12" i="48"/>
  <c r="E16" i="48" s="1"/>
  <c r="E20" i="48" s="1"/>
  <c r="D12" i="48"/>
  <c r="C12" i="48"/>
  <c r="A1" i="48"/>
  <c r="C69" i="48" l="1"/>
  <c r="C68" i="48"/>
  <c r="N27" i="43"/>
  <c r="M87" i="26"/>
  <c r="N26" i="43"/>
  <c r="C61" i="48"/>
  <c r="C60" i="48"/>
  <c r="E44" i="49"/>
  <c r="M21" i="26"/>
  <c r="M141" i="26" s="1"/>
  <c r="L141" i="26"/>
  <c r="M19" i="26"/>
  <c r="M139" i="26" s="1"/>
  <c r="L139" i="26"/>
  <c r="M23" i="26"/>
  <c r="M143" i="26" s="1"/>
  <c r="L143" i="26"/>
  <c r="M25" i="26"/>
  <c r="M145" i="26" s="1"/>
  <c r="L145" i="26"/>
  <c r="M17" i="26"/>
  <c r="M137" i="26" s="1"/>
  <c r="L137" i="26"/>
  <c r="D44" i="49"/>
  <c r="S29" i="49"/>
  <c r="S33" i="49"/>
  <c r="S31" i="49"/>
  <c r="S34" i="49"/>
  <c r="R31" i="49"/>
  <c r="R34" i="49"/>
  <c r="R35" i="49"/>
  <c r="R28" i="49"/>
  <c r="R32" i="49"/>
  <c r="S35" i="49"/>
  <c r="T29" i="49"/>
  <c r="T32" i="49"/>
  <c r="T28" i="49"/>
  <c r="S32" i="49"/>
  <c r="T33" i="49"/>
  <c r="S27" i="49"/>
  <c r="S28" i="49"/>
  <c r="R29" i="49"/>
  <c r="F78" i="49"/>
  <c r="F92" i="49" s="1"/>
  <c r="R33" i="49"/>
  <c r="T34" i="49"/>
  <c r="F82" i="49"/>
  <c r="F96" i="49" s="1"/>
  <c r="T31" i="49"/>
  <c r="T27" i="49"/>
  <c r="F79" i="49"/>
  <c r="F93" i="49" s="1"/>
  <c r="R44" i="49" l="1"/>
  <c r="V44" i="49" s="1"/>
  <c r="R49" i="49"/>
  <c r="V49" i="49" s="1"/>
  <c r="R47" i="49"/>
  <c r="V47" i="49" s="1"/>
  <c r="R46" i="49"/>
  <c r="V46" i="49" s="1"/>
  <c r="R48" i="49"/>
  <c r="V48" i="49" s="1"/>
  <c r="R43" i="49"/>
  <c r="V43" i="49" s="1"/>
  <c r="N73" i="26"/>
  <c r="N25" i="26"/>
  <c r="N21" i="26"/>
  <c r="T35" i="49"/>
  <c r="F83" i="49"/>
  <c r="F97" i="49" s="1"/>
  <c r="G33" i="49" l="1"/>
  <c r="G17" i="49" s="1"/>
  <c r="H26" i="49"/>
  <c r="H30" i="49"/>
  <c r="H32" i="49"/>
  <c r="H31" i="49"/>
  <c r="U35" i="49" l="1"/>
  <c r="R50" i="49" s="1"/>
  <c r="V50" i="49" s="1"/>
  <c r="H27" i="49"/>
  <c r="I27" i="49" s="1"/>
  <c r="I31" i="49"/>
  <c r="I32" i="49"/>
  <c r="I26" i="49"/>
  <c r="I30" i="49"/>
  <c r="H33" i="49" l="1"/>
  <c r="J30" i="49"/>
  <c r="J31" i="49"/>
  <c r="J27" i="49"/>
  <c r="I33" i="49"/>
  <c r="J26" i="49"/>
  <c r="J32" i="49"/>
  <c r="K31" i="49" l="1"/>
  <c r="K26" i="49"/>
  <c r="J33" i="49"/>
  <c r="K27" i="49"/>
  <c r="K32" i="49"/>
  <c r="K30" i="49"/>
  <c r="L32" i="49" l="1"/>
  <c r="M32" i="49" s="1"/>
  <c r="L31" i="49"/>
  <c r="K33" i="49"/>
  <c r="L27" i="49"/>
  <c r="M27" i="49" s="1"/>
  <c r="L30" i="49"/>
  <c r="M30" i="49" s="1"/>
  <c r="L26" i="49"/>
  <c r="M26" i="49" s="1"/>
  <c r="M31" i="49" l="1"/>
  <c r="M33" i="49"/>
  <c r="L33" i="49"/>
  <c r="E10" i="26" l="1"/>
  <c r="F10" i="26" s="1"/>
  <c r="G10" i="26" s="1"/>
  <c r="H10" i="26" s="1"/>
  <c r="I10" i="26" s="1"/>
  <c r="J10" i="26" s="1"/>
  <c r="K10" i="26" s="1"/>
  <c r="L10" i="26" s="1"/>
  <c r="M10" i="26" s="1"/>
  <c r="K109" i="26"/>
  <c r="K105" i="26" s="1"/>
  <c r="F93" i="26"/>
  <c r="G93" i="26" s="1"/>
  <c r="H93" i="26" s="1"/>
  <c r="I93" i="26" s="1"/>
  <c r="C108" i="51"/>
  <c r="C107" i="51"/>
  <c r="F49" i="26"/>
  <c r="F39" i="26"/>
  <c r="G39" i="26" s="1"/>
  <c r="H39" i="26" s="1"/>
  <c r="I39" i="26" s="1"/>
  <c r="J39" i="26" s="1"/>
  <c r="K39" i="26" s="1"/>
  <c r="L39" i="26" s="1"/>
  <c r="M39" i="26" s="1"/>
  <c r="D39" i="26"/>
  <c r="D37" i="26"/>
  <c r="F37" i="26"/>
  <c r="G37" i="26" s="1"/>
  <c r="H37" i="26" s="1"/>
  <c r="I37" i="26" s="1"/>
  <c r="J37" i="26" s="1"/>
  <c r="K37" i="26" s="1"/>
  <c r="L37" i="26" s="1"/>
  <c r="M37" i="26" s="1"/>
  <c r="D35" i="26"/>
  <c r="N35" i="26" s="1"/>
  <c r="F33" i="26"/>
  <c r="G33" i="26" s="1"/>
  <c r="H33" i="26" s="1"/>
  <c r="I33" i="26" s="1"/>
  <c r="J33" i="26" s="1"/>
  <c r="K33" i="26" s="1"/>
  <c r="L33" i="26" s="1"/>
  <c r="M33" i="26" s="1"/>
  <c r="F29" i="26"/>
  <c r="D26" i="45"/>
  <c r="D21" i="45"/>
  <c r="C7" i="45"/>
  <c r="N87" i="26" l="1"/>
  <c r="D143" i="26"/>
  <c r="N83" i="26"/>
  <c r="C21" i="45"/>
  <c r="D38" i="45"/>
  <c r="E107" i="51"/>
  <c r="G49" i="26"/>
  <c r="E108" i="51"/>
  <c r="C36" i="45"/>
  <c r="E36" i="45" s="1"/>
  <c r="C120" i="51"/>
  <c r="C109" i="51"/>
  <c r="C161" i="51"/>
  <c r="C162" i="51"/>
  <c r="C121" i="51"/>
  <c r="C26" i="45"/>
  <c r="C43" i="45" s="1"/>
  <c r="E43" i="45" s="1"/>
  <c r="D43" i="45"/>
  <c r="N95" i="26"/>
  <c r="N37" i="26"/>
  <c r="N39" i="26"/>
  <c r="G29" i="26"/>
  <c r="H29" i="26" s="1"/>
  <c r="I29" i="26" s="1"/>
  <c r="J29" i="26" s="1"/>
  <c r="L109" i="26"/>
  <c r="A1" i="44"/>
  <c r="A1" i="46"/>
  <c r="A1" i="47"/>
  <c r="A1" i="43"/>
  <c r="A1" i="26"/>
  <c r="A1" i="34"/>
  <c r="A1" i="45"/>
  <c r="M109" i="26" l="1"/>
  <c r="M105" i="26" s="1"/>
  <c r="L105" i="26"/>
  <c r="E162" i="51"/>
  <c r="E173" i="51" s="1"/>
  <c r="E121" i="51"/>
  <c r="C173" i="51"/>
  <c r="C215" i="51"/>
  <c r="H49" i="26"/>
  <c r="F108" i="51"/>
  <c r="C122" i="51"/>
  <c r="E120" i="51"/>
  <c r="E109" i="51"/>
  <c r="E215" i="51" s="1"/>
  <c r="E161" i="51"/>
  <c r="C163" i="51"/>
  <c r="C172" i="51"/>
  <c r="H47" i="26"/>
  <c r="F107" i="51"/>
  <c r="N109" i="26"/>
  <c r="K29" i="26"/>
  <c r="L29" i="26" s="1"/>
  <c r="M29" i="26" s="1"/>
  <c r="G27" i="26"/>
  <c r="H27" i="26" s="1"/>
  <c r="I27" i="26" s="1"/>
  <c r="J27" i="26" s="1"/>
  <c r="K27" i="26" s="1"/>
  <c r="L27" i="26" s="1"/>
  <c r="M27" i="26" s="1"/>
  <c r="F109" i="51" l="1"/>
  <c r="F120" i="51"/>
  <c r="F161" i="51"/>
  <c r="C281" i="51"/>
  <c r="E122" i="51"/>
  <c r="I47" i="26"/>
  <c r="G107" i="51"/>
  <c r="E172" i="51"/>
  <c r="E174" i="51" s="1"/>
  <c r="E163" i="51"/>
  <c r="E281" i="51" s="1"/>
  <c r="F121" i="51"/>
  <c r="F162" i="51"/>
  <c r="F173" i="51" s="1"/>
  <c r="C174" i="51"/>
  <c r="I49" i="26"/>
  <c r="G108" i="51"/>
  <c r="N29" i="26"/>
  <c r="D27" i="26"/>
  <c r="N27" i="26" s="1"/>
  <c r="F16" i="48"/>
  <c r="F122" i="51" l="1"/>
  <c r="G121" i="51"/>
  <c r="G162" i="51"/>
  <c r="J49" i="26"/>
  <c r="H108" i="51"/>
  <c r="G120" i="51"/>
  <c r="G109" i="51"/>
  <c r="G215" i="51" s="1"/>
  <c r="G161" i="51"/>
  <c r="F172" i="51"/>
  <c r="F174" i="51" s="1"/>
  <c r="F163" i="51"/>
  <c r="F281" i="51" s="1"/>
  <c r="J47" i="26"/>
  <c r="H107" i="51"/>
  <c r="F215" i="51"/>
  <c r="F40" i="48"/>
  <c r="G122" i="51" l="1"/>
  <c r="G173" i="51"/>
  <c r="H120" i="51"/>
  <c r="H109" i="51"/>
  <c r="H161" i="51"/>
  <c r="H121" i="51"/>
  <c r="H162" i="51"/>
  <c r="H173" i="51" s="1"/>
  <c r="K47" i="26"/>
  <c r="I107" i="51"/>
  <c r="G172" i="51"/>
  <c r="G163" i="51"/>
  <c r="K49" i="26"/>
  <c r="I108" i="51"/>
  <c r="L47" i="26" l="1"/>
  <c r="J107" i="51"/>
  <c r="G281" i="51"/>
  <c r="H163" i="51"/>
  <c r="H281" i="51" s="1"/>
  <c r="H172" i="51"/>
  <c r="H174" i="51" s="1"/>
  <c r="I121" i="51"/>
  <c r="I162" i="51"/>
  <c r="I173" i="51" s="1"/>
  <c r="G174" i="51"/>
  <c r="H215" i="51"/>
  <c r="L49" i="26"/>
  <c r="J108" i="51"/>
  <c r="I120" i="51"/>
  <c r="I109" i="51"/>
  <c r="I215" i="51" s="1"/>
  <c r="I161" i="51"/>
  <c r="H122" i="51"/>
  <c r="E72" i="26"/>
  <c r="J121" i="51" l="1"/>
  <c r="J162" i="51"/>
  <c r="M47" i="26"/>
  <c r="K107" i="51"/>
  <c r="I172" i="51"/>
  <c r="I174" i="51" s="1"/>
  <c r="I163" i="51"/>
  <c r="M49" i="26"/>
  <c r="K108" i="51"/>
  <c r="I122" i="51"/>
  <c r="J120" i="51"/>
  <c r="J109" i="51"/>
  <c r="J215" i="51" s="1"/>
  <c r="J161" i="51"/>
  <c r="F101" i="26"/>
  <c r="G101" i="26"/>
  <c r="H101" i="26"/>
  <c r="I101" i="26"/>
  <c r="J101" i="26"/>
  <c r="K101" i="26"/>
  <c r="L101" i="26"/>
  <c r="M101" i="26"/>
  <c r="E101" i="26"/>
  <c r="E41" i="26"/>
  <c r="E58" i="26"/>
  <c r="J122" i="51" l="1"/>
  <c r="J172" i="51"/>
  <c r="J163" i="51"/>
  <c r="J281" i="51" s="1"/>
  <c r="L107" i="51"/>
  <c r="N47" i="26"/>
  <c r="I281" i="51"/>
  <c r="K121" i="51"/>
  <c r="K162" i="51"/>
  <c r="K173" i="51" s="1"/>
  <c r="J173" i="51"/>
  <c r="L108" i="51"/>
  <c r="N49" i="26"/>
  <c r="K109" i="51"/>
  <c r="K120" i="51"/>
  <c r="K161" i="51"/>
  <c r="K122" i="51" l="1"/>
  <c r="J174" i="51"/>
  <c r="K172" i="51"/>
  <c r="K174" i="51" s="1"/>
  <c r="K163" i="51"/>
  <c r="L121" i="51"/>
  <c r="M121" i="51" s="1"/>
  <c r="L162" i="51"/>
  <c r="M108" i="51"/>
  <c r="L109" i="51"/>
  <c r="L215" i="51" s="1"/>
  <c r="L120" i="51"/>
  <c r="L161" i="51"/>
  <c r="M107" i="51"/>
  <c r="K215" i="51"/>
  <c r="F41" i="26"/>
  <c r="N109" i="51" l="1"/>
  <c r="M109" i="51"/>
  <c r="L122" i="51"/>
  <c r="M122" i="51" s="1"/>
  <c r="M120" i="51"/>
  <c r="N122" i="51" s="1"/>
  <c r="M215" i="51"/>
  <c r="K281" i="51"/>
  <c r="L172" i="51"/>
  <c r="L163" i="51"/>
  <c r="L281" i="51" s="1"/>
  <c r="M161" i="51"/>
  <c r="L173" i="51"/>
  <c r="M173" i="51" s="1"/>
  <c r="M162" i="51"/>
  <c r="G41" i="26"/>
  <c r="M281" i="51" l="1"/>
  <c r="L174" i="51"/>
  <c r="M174" i="51" s="1"/>
  <c r="M172" i="51"/>
  <c r="N174" i="51" s="1"/>
  <c r="N163" i="51"/>
  <c r="M163" i="51"/>
  <c r="H41" i="26"/>
  <c r="C9" i="45"/>
  <c r="C38" i="45" l="1"/>
  <c r="E38" i="45" s="1"/>
  <c r="I41" i="26"/>
  <c r="E8" i="45"/>
  <c r="G13" i="45" s="1"/>
  <c r="D40" i="45" s="1"/>
  <c r="E9" i="45"/>
  <c r="E10" i="45"/>
  <c r="E11" i="45"/>
  <c r="E12" i="45"/>
  <c r="D14" i="45"/>
  <c r="D33" i="26" s="1"/>
  <c r="E7" i="45"/>
  <c r="E19" i="45"/>
  <c r="D58" i="26"/>
  <c r="E131" i="26"/>
  <c r="D41" i="26" l="1"/>
  <c r="N33" i="26"/>
  <c r="J41" i="26"/>
  <c r="D118" i="26"/>
  <c r="D176" i="26" s="1"/>
  <c r="K41" i="26" l="1"/>
  <c r="M9" i="43"/>
  <c r="F97" i="26"/>
  <c r="E45" i="26"/>
  <c r="E12" i="26"/>
  <c r="D72" i="26"/>
  <c r="D15" i="26"/>
  <c r="D12" i="26"/>
  <c r="D31" i="26" l="1"/>
  <c r="G97" i="26"/>
  <c r="L41" i="26"/>
  <c r="M41" i="26"/>
  <c r="D69" i="26"/>
  <c r="D119" i="26"/>
  <c r="E118" i="26"/>
  <c r="E176" i="26" s="1"/>
  <c r="E119" i="26"/>
  <c r="F12" i="26"/>
  <c r="F58" i="26"/>
  <c r="D9" i="26"/>
  <c r="D59" i="26"/>
  <c r="E9" i="26"/>
  <c r="E59" i="26"/>
  <c r="E69" i="26"/>
  <c r="F70" i="26"/>
  <c r="H22" i="40"/>
  <c r="C34" i="40" s="1"/>
  <c r="F21" i="40"/>
  <c r="F20" i="40"/>
  <c r="D24" i="34" s="1"/>
  <c r="F8" i="40"/>
  <c r="D7" i="40"/>
  <c r="D16" i="40" s="1"/>
  <c r="C24" i="34" l="1"/>
  <c r="D41" i="34"/>
  <c r="D25" i="45"/>
  <c r="D29" i="45" s="1"/>
  <c r="W93" i="26" s="1"/>
  <c r="D93" i="26" s="1"/>
  <c r="D25" i="34"/>
  <c r="D27" i="34" s="1"/>
  <c r="D44" i="34" s="1"/>
  <c r="R64" i="49"/>
  <c r="H79" i="49"/>
  <c r="H93" i="49"/>
  <c r="N89" i="26"/>
  <c r="I64" i="49"/>
  <c r="S64" i="49" s="1"/>
  <c r="E177" i="26"/>
  <c r="N41" i="26"/>
  <c r="D177" i="26"/>
  <c r="D24" i="45"/>
  <c r="H97" i="26"/>
  <c r="F118" i="26"/>
  <c r="F176" i="26" s="1"/>
  <c r="H12" i="26"/>
  <c r="G58" i="26"/>
  <c r="F9" i="26"/>
  <c r="F59" i="26"/>
  <c r="G12" i="26"/>
  <c r="G70" i="26"/>
  <c r="F72" i="26"/>
  <c r="F7" i="40"/>
  <c r="D20" i="34" s="1"/>
  <c r="D42" i="45" l="1"/>
  <c r="D46" i="45" s="1"/>
  <c r="C25" i="45"/>
  <c r="C42" i="45" s="1"/>
  <c r="E42" i="45" s="1"/>
  <c r="D37" i="34"/>
  <c r="D39" i="34" s="1"/>
  <c r="D45" i="34" s="1"/>
  <c r="C20" i="34"/>
  <c r="D22" i="34"/>
  <c r="C25" i="34"/>
  <c r="D42" i="34"/>
  <c r="D46" i="34" s="1"/>
  <c r="D29" i="34"/>
  <c r="E24" i="34"/>
  <c r="C41" i="34"/>
  <c r="E41" i="34" s="1"/>
  <c r="I79" i="49"/>
  <c r="I93" i="49"/>
  <c r="C24" i="45"/>
  <c r="C41" i="45" s="1"/>
  <c r="E41" i="45" s="1"/>
  <c r="D41" i="45"/>
  <c r="J64" i="49"/>
  <c r="I97" i="26"/>
  <c r="D20" i="45"/>
  <c r="D37" i="45" s="1"/>
  <c r="G118" i="26"/>
  <c r="G176" i="26" s="1"/>
  <c r="F69" i="26"/>
  <c r="F119" i="26"/>
  <c r="F177" i="26" s="1"/>
  <c r="H9" i="26"/>
  <c r="H59" i="26"/>
  <c r="G9" i="26"/>
  <c r="G59" i="26"/>
  <c r="H58" i="26"/>
  <c r="C31" i="40"/>
  <c r="G72" i="26"/>
  <c r="F16" i="40"/>
  <c r="H7" i="40"/>
  <c r="H70" i="26"/>
  <c r="D130" i="26"/>
  <c r="F13" i="47"/>
  <c r="G13" i="47"/>
  <c r="H13" i="47"/>
  <c r="I13" i="47"/>
  <c r="J13" i="47"/>
  <c r="K13" i="47"/>
  <c r="L13" i="47"/>
  <c r="M13" i="47"/>
  <c r="F45" i="43"/>
  <c r="G45" i="43"/>
  <c r="H45" i="43"/>
  <c r="I45" i="43"/>
  <c r="J45" i="43"/>
  <c r="K45" i="43"/>
  <c r="L45" i="43"/>
  <c r="M45" i="43"/>
  <c r="E45" i="43"/>
  <c r="F44" i="43"/>
  <c r="G44" i="43"/>
  <c r="H44" i="43"/>
  <c r="I44" i="43"/>
  <c r="J44" i="43"/>
  <c r="K44" i="43"/>
  <c r="L44" i="43"/>
  <c r="M44" i="43"/>
  <c r="D44" i="43"/>
  <c r="E44" i="43"/>
  <c r="F43" i="43"/>
  <c r="J61" i="49" s="1"/>
  <c r="G43" i="43"/>
  <c r="K61" i="49" s="1"/>
  <c r="H43" i="43"/>
  <c r="L61" i="49" s="1"/>
  <c r="I43" i="43"/>
  <c r="M61" i="49" s="1"/>
  <c r="J43" i="43"/>
  <c r="K43" i="43"/>
  <c r="L43" i="43"/>
  <c r="M43" i="43"/>
  <c r="D43" i="43"/>
  <c r="H61" i="49" s="1"/>
  <c r="E43" i="43"/>
  <c r="I61" i="49" s="1"/>
  <c r="G9" i="43"/>
  <c r="G15" i="43" s="1"/>
  <c r="F9" i="43"/>
  <c r="F15" i="43" s="1"/>
  <c r="E14" i="51" s="1"/>
  <c r="H9" i="43"/>
  <c r="I9" i="43"/>
  <c r="I15" i="43" s="1"/>
  <c r="J9" i="43"/>
  <c r="J15" i="43" s="1"/>
  <c r="K9" i="43"/>
  <c r="K15" i="43" s="1"/>
  <c r="L9" i="43"/>
  <c r="M15" i="43"/>
  <c r="D9" i="43"/>
  <c r="E9" i="43"/>
  <c r="E15" i="43" s="1"/>
  <c r="F169" i="26"/>
  <c r="G169" i="26"/>
  <c r="H169" i="26"/>
  <c r="I169" i="26"/>
  <c r="J169" i="26"/>
  <c r="K169" i="26"/>
  <c r="L169" i="26"/>
  <c r="M169" i="26"/>
  <c r="D169" i="26"/>
  <c r="E169" i="26"/>
  <c r="F167" i="26"/>
  <c r="G167" i="26"/>
  <c r="H167" i="26"/>
  <c r="I167" i="26"/>
  <c r="J167" i="26"/>
  <c r="K167" i="26"/>
  <c r="L167" i="26"/>
  <c r="M167" i="26"/>
  <c r="D167" i="26"/>
  <c r="E167" i="26"/>
  <c r="F159" i="26"/>
  <c r="G159" i="26"/>
  <c r="H159" i="26"/>
  <c r="I159" i="26"/>
  <c r="J159" i="26"/>
  <c r="K159" i="26"/>
  <c r="L159" i="26"/>
  <c r="M159" i="26"/>
  <c r="D159" i="26"/>
  <c r="E159" i="26"/>
  <c r="F157" i="26"/>
  <c r="G157" i="26"/>
  <c r="H157" i="26"/>
  <c r="D157" i="26"/>
  <c r="E157" i="26"/>
  <c r="F155" i="26"/>
  <c r="G155" i="26"/>
  <c r="H155" i="26"/>
  <c r="I155" i="26"/>
  <c r="J155" i="26"/>
  <c r="K155" i="26"/>
  <c r="L155" i="26"/>
  <c r="M155" i="26"/>
  <c r="D155" i="26"/>
  <c r="E155" i="26"/>
  <c r="F153" i="26"/>
  <c r="G153" i="26"/>
  <c r="H153" i="26"/>
  <c r="I153" i="26"/>
  <c r="J153" i="26"/>
  <c r="K153" i="26"/>
  <c r="L153" i="26"/>
  <c r="M153" i="26"/>
  <c r="E153" i="26"/>
  <c r="M149" i="26"/>
  <c r="F149" i="26"/>
  <c r="G149" i="26"/>
  <c r="H149" i="26"/>
  <c r="I149" i="26"/>
  <c r="J149" i="26"/>
  <c r="K149" i="26"/>
  <c r="L149" i="26"/>
  <c r="D149" i="26"/>
  <c r="E149" i="26"/>
  <c r="F147" i="26"/>
  <c r="G147" i="26"/>
  <c r="H147" i="26"/>
  <c r="I147" i="26"/>
  <c r="J147" i="26"/>
  <c r="K147" i="26"/>
  <c r="L147" i="26"/>
  <c r="M147" i="26"/>
  <c r="D147" i="26"/>
  <c r="E147" i="26"/>
  <c r="F133" i="26"/>
  <c r="G133" i="26"/>
  <c r="H133" i="26"/>
  <c r="D133" i="26"/>
  <c r="E133" i="26"/>
  <c r="G131" i="26"/>
  <c r="F131" i="26"/>
  <c r="F132" i="26"/>
  <c r="E132" i="26"/>
  <c r="D131" i="26"/>
  <c r="D132" i="26"/>
  <c r="F75" i="26"/>
  <c r="G75" i="26"/>
  <c r="H75" i="26"/>
  <c r="I75" i="26"/>
  <c r="J75" i="26"/>
  <c r="K75" i="26"/>
  <c r="L75" i="26"/>
  <c r="M75" i="26"/>
  <c r="D75" i="26"/>
  <c r="D111" i="26" s="1"/>
  <c r="B46" i="46" s="1"/>
  <c r="E75" i="26"/>
  <c r="E111" i="26" s="1"/>
  <c r="S28" i="47" l="1"/>
  <c r="F39" i="34"/>
  <c r="F24" i="40"/>
  <c r="S17" i="47"/>
  <c r="E20" i="34"/>
  <c r="C22" i="34"/>
  <c r="E22" i="34" s="1"/>
  <c r="C28" i="34"/>
  <c r="C37" i="34"/>
  <c r="D28" i="34"/>
  <c r="D48" i="34"/>
  <c r="C42" i="34"/>
  <c r="E42" i="34" s="1"/>
  <c r="E25" i="34"/>
  <c r="E113" i="26"/>
  <c r="C46" i="46"/>
  <c r="D113" i="26"/>
  <c r="F111" i="26"/>
  <c r="R61" i="49"/>
  <c r="H10" i="49"/>
  <c r="T61" i="49"/>
  <c r="J10" i="49"/>
  <c r="L36" i="40"/>
  <c r="C13" i="44"/>
  <c r="F21" i="44" s="1"/>
  <c r="F39" i="45"/>
  <c r="S61" i="49"/>
  <c r="I10" i="49"/>
  <c r="U61" i="49"/>
  <c r="K10" i="49"/>
  <c r="W61" i="49"/>
  <c r="M10" i="49"/>
  <c r="V61" i="49"/>
  <c r="L10" i="49"/>
  <c r="J93" i="49"/>
  <c r="T64" i="49"/>
  <c r="I157" i="26"/>
  <c r="C35" i="46"/>
  <c r="D14" i="51"/>
  <c r="I35" i="46"/>
  <c r="J14" i="51"/>
  <c r="E216" i="51"/>
  <c r="E29" i="51"/>
  <c r="H35" i="46"/>
  <c r="I14" i="51"/>
  <c r="E35" i="46"/>
  <c r="F14" i="51"/>
  <c r="K35" i="46"/>
  <c r="L14" i="51"/>
  <c r="G35" i="46"/>
  <c r="H14" i="51"/>
  <c r="J79" i="49"/>
  <c r="C20" i="45"/>
  <c r="C37" i="45" s="1"/>
  <c r="E37" i="45" s="1"/>
  <c r="D39" i="45"/>
  <c r="K64" i="49"/>
  <c r="U64" i="49" s="1"/>
  <c r="L161" i="26"/>
  <c r="H161" i="26"/>
  <c r="K161" i="26"/>
  <c r="G161" i="26"/>
  <c r="H17" i="47"/>
  <c r="L17" i="47"/>
  <c r="E161" i="26"/>
  <c r="N43" i="43"/>
  <c r="N44" i="43"/>
  <c r="J161" i="26"/>
  <c r="F161" i="26"/>
  <c r="N75" i="26"/>
  <c r="N159" i="26"/>
  <c r="M161" i="26"/>
  <c r="I161" i="26"/>
  <c r="N155" i="26"/>
  <c r="N149" i="26"/>
  <c r="N167" i="26"/>
  <c r="N169" i="26"/>
  <c r="D15" i="43"/>
  <c r="N9" i="43"/>
  <c r="I133" i="26"/>
  <c r="J97" i="26"/>
  <c r="E91" i="26"/>
  <c r="D91" i="26"/>
  <c r="H91" i="26"/>
  <c r="G91" i="26"/>
  <c r="F91" i="26"/>
  <c r="D35" i="46"/>
  <c r="C30" i="40"/>
  <c r="E31" i="40" s="1"/>
  <c r="J7" i="40"/>
  <c r="F20" i="34" s="1"/>
  <c r="I91" i="26"/>
  <c r="G132" i="26"/>
  <c r="G119" i="26"/>
  <c r="G177" i="26" s="1"/>
  <c r="H131" i="26"/>
  <c r="H118" i="26"/>
  <c r="H176" i="26" s="1"/>
  <c r="I58" i="26"/>
  <c r="I12" i="26"/>
  <c r="G69" i="26"/>
  <c r="G111" i="26" s="1"/>
  <c r="I70" i="26"/>
  <c r="H72" i="26"/>
  <c r="G17" i="47"/>
  <c r="K17" i="47"/>
  <c r="H16" i="40"/>
  <c r="J16" i="40" s="1"/>
  <c r="F22" i="34" s="1"/>
  <c r="L15" i="43"/>
  <c r="H15" i="43"/>
  <c r="I17" i="47"/>
  <c r="M17" i="47"/>
  <c r="F17" i="47"/>
  <c r="J17" i="47"/>
  <c r="D29" i="43" l="1"/>
  <c r="E37" i="34"/>
  <c r="C39" i="34"/>
  <c r="F23" i="34"/>
  <c r="F45" i="34"/>
  <c r="E28" i="34"/>
  <c r="F31" i="34"/>
  <c r="F48" i="34"/>
  <c r="F46" i="34"/>
  <c r="D31" i="34"/>
  <c r="S45" i="47"/>
  <c r="G11" i="44" s="1"/>
  <c r="S33" i="47"/>
  <c r="G113" i="26"/>
  <c r="E46" i="46"/>
  <c r="F113" i="26"/>
  <c r="D46" i="46"/>
  <c r="C14" i="51"/>
  <c r="C216" i="51" s="1"/>
  <c r="B35" i="46"/>
  <c r="M36" i="40"/>
  <c r="F48" i="45"/>
  <c r="F31" i="45"/>
  <c r="F13" i="44"/>
  <c r="R75" i="49"/>
  <c r="V75" i="49" s="1"/>
  <c r="E18" i="40"/>
  <c r="J35" i="46"/>
  <c r="K14" i="51"/>
  <c r="J29" i="51"/>
  <c r="J216" i="51"/>
  <c r="W23" i="47"/>
  <c r="W36" i="47" s="1"/>
  <c r="L37" i="40"/>
  <c r="M37" i="40" s="1"/>
  <c r="S8" i="47"/>
  <c r="H216" i="51"/>
  <c r="H29" i="51"/>
  <c r="F29" i="51"/>
  <c r="F216" i="51"/>
  <c r="D29" i="51"/>
  <c r="D216" i="51"/>
  <c r="F35" i="46"/>
  <c r="G14" i="51"/>
  <c r="L29" i="51"/>
  <c r="L216" i="51"/>
  <c r="I216" i="51"/>
  <c r="I29" i="51"/>
  <c r="C39" i="45"/>
  <c r="C45" i="45" s="1"/>
  <c r="K79" i="49"/>
  <c r="F20" i="45"/>
  <c r="K93" i="49"/>
  <c r="M17" i="43"/>
  <c r="J70" i="26"/>
  <c r="L64" i="49"/>
  <c r="V64" i="49" s="1"/>
  <c r="N15" i="43"/>
  <c r="K97" i="26"/>
  <c r="J157" i="26"/>
  <c r="F23" i="45"/>
  <c r="E20" i="45"/>
  <c r="I118" i="26"/>
  <c r="I176" i="26" s="1"/>
  <c r="H132" i="26"/>
  <c r="H119" i="26"/>
  <c r="H177" i="26" s="1"/>
  <c r="J91" i="26"/>
  <c r="I9" i="26"/>
  <c r="I59" i="26"/>
  <c r="J133" i="26"/>
  <c r="J58" i="26"/>
  <c r="J12" i="26"/>
  <c r="E13" i="47"/>
  <c r="E17" i="47" s="1"/>
  <c r="F22" i="45"/>
  <c r="F21" i="45"/>
  <c r="H69" i="26"/>
  <c r="H111" i="26" s="1"/>
  <c r="I72" i="26"/>
  <c r="I131" i="26"/>
  <c r="E130" i="26"/>
  <c r="D45" i="43" l="1"/>
  <c r="N45" i="43" s="1"/>
  <c r="D12" i="47"/>
  <c r="D9" i="47" s="1"/>
  <c r="D17" i="47" s="1"/>
  <c r="N29" i="43"/>
  <c r="C29" i="51"/>
  <c r="B50" i="34"/>
  <c r="B18" i="46"/>
  <c r="C23" i="45"/>
  <c r="C40" i="45" s="1"/>
  <c r="G39" i="45" s="1"/>
  <c r="C23" i="34"/>
  <c r="E39" i="34"/>
  <c r="C45" i="34"/>
  <c r="S30" i="47"/>
  <c r="N35" i="46"/>
  <c r="F46" i="46"/>
  <c r="H113" i="26"/>
  <c r="J118" i="26"/>
  <c r="J176" i="26" s="1"/>
  <c r="M64" i="49"/>
  <c r="M14" i="51"/>
  <c r="G29" i="51"/>
  <c r="G216" i="51"/>
  <c r="K216" i="51"/>
  <c r="K29" i="51"/>
  <c r="E39" i="45"/>
  <c r="K70" i="26"/>
  <c r="K118" i="26" s="1"/>
  <c r="E23" i="45"/>
  <c r="O16" i="47"/>
  <c r="L93" i="49"/>
  <c r="L79" i="49"/>
  <c r="L97" i="26"/>
  <c r="K157" i="26"/>
  <c r="J131" i="26"/>
  <c r="J72" i="26"/>
  <c r="J119" i="26" s="1"/>
  <c r="I132" i="26"/>
  <c r="I119" i="26"/>
  <c r="I177" i="26" s="1"/>
  <c r="K91" i="26"/>
  <c r="J9" i="26"/>
  <c r="J59" i="26"/>
  <c r="K58" i="26"/>
  <c r="K12" i="26"/>
  <c r="K133" i="26"/>
  <c r="I69" i="26"/>
  <c r="I111" i="26" s="1"/>
  <c r="F130" i="26"/>
  <c r="C40" i="34" l="1"/>
  <c r="E23" i="34"/>
  <c r="C27" i="34"/>
  <c r="C14" i="47"/>
  <c r="S42" i="47"/>
  <c r="I113" i="26"/>
  <c r="G46" i="46"/>
  <c r="L70" i="26"/>
  <c r="M70" i="26" s="1"/>
  <c r="M93" i="49"/>
  <c r="N93" i="49" s="1"/>
  <c r="W64" i="49"/>
  <c r="R78" i="49" s="1"/>
  <c r="V78" i="49" s="1"/>
  <c r="M79" i="49"/>
  <c r="N79" i="49" s="1"/>
  <c r="M29" i="51"/>
  <c r="M216" i="51"/>
  <c r="E40" i="45"/>
  <c r="C44" i="45"/>
  <c r="J177" i="26"/>
  <c r="K176" i="26"/>
  <c r="J69" i="26"/>
  <c r="J111" i="26" s="1"/>
  <c r="M97" i="26"/>
  <c r="L157" i="26"/>
  <c r="K72" i="26"/>
  <c r="K69" i="26" s="1"/>
  <c r="K111" i="26" s="1"/>
  <c r="K131" i="26"/>
  <c r="J132" i="26"/>
  <c r="L91" i="26"/>
  <c r="L58" i="26"/>
  <c r="L12" i="26"/>
  <c r="L133" i="26"/>
  <c r="K9" i="26"/>
  <c r="K59" i="26"/>
  <c r="G130" i="26"/>
  <c r="E27" i="34" l="1"/>
  <c r="F28" i="34"/>
  <c r="E40" i="34"/>
  <c r="G39" i="34"/>
  <c r="C44" i="34"/>
  <c r="E44" i="34" s="1"/>
  <c r="O14" i="47"/>
  <c r="C13" i="47"/>
  <c r="O13" i="47" s="1"/>
  <c r="K113" i="26"/>
  <c r="I46" i="46"/>
  <c r="J113" i="26"/>
  <c r="H46" i="46"/>
  <c r="E44" i="45"/>
  <c r="N97" i="26"/>
  <c r="L118" i="26"/>
  <c r="L176" i="26" s="1"/>
  <c r="L72" i="26"/>
  <c r="L132" i="26" s="1"/>
  <c r="L131" i="26"/>
  <c r="M91" i="26"/>
  <c r="N91" i="26" s="1"/>
  <c r="M157" i="26"/>
  <c r="M118" i="26"/>
  <c r="K119" i="26"/>
  <c r="K177" i="26" s="1"/>
  <c r="K132" i="26"/>
  <c r="M58" i="26"/>
  <c r="M12" i="26"/>
  <c r="M59" i="26" s="1"/>
  <c r="M133" i="26"/>
  <c r="L9" i="26"/>
  <c r="L59" i="26"/>
  <c r="M72" i="26"/>
  <c r="M131" i="26"/>
  <c r="H130" i="26"/>
  <c r="L69" i="26" l="1"/>
  <c r="L111" i="26" s="1"/>
  <c r="J46" i="46" s="1"/>
  <c r="N157" i="26"/>
  <c r="N72" i="26"/>
  <c r="N118" i="26"/>
  <c r="N133" i="26"/>
  <c r="N59" i="26"/>
  <c r="M176" i="26"/>
  <c r="N176" i="26" s="1"/>
  <c r="N58" i="26"/>
  <c r="L119" i="26"/>
  <c r="L177" i="26" s="1"/>
  <c r="M9" i="26"/>
  <c r="N9" i="26" s="1"/>
  <c r="M132" i="26"/>
  <c r="M119" i="26"/>
  <c r="M69" i="26"/>
  <c r="I130" i="26"/>
  <c r="L113" i="26" l="1"/>
  <c r="N69" i="26"/>
  <c r="M111" i="26"/>
  <c r="N119" i="26"/>
  <c r="O119" i="26" s="1"/>
  <c r="O59" i="26"/>
  <c r="M177" i="26"/>
  <c r="N177" i="26" s="1"/>
  <c r="O177" i="26" s="1"/>
  <c r="J130" i="26"/>
  <c r="K46" i="46" l="1"/>
  <c r="M113" i="26"/>
  <c r="K130" i="26"/>
  <c r="L130" i="26" l="1"/>
  <c r="M130" i="26"/>
  <c r="C13" i="45" l="1"/>
  <c r="M129" i="26"/>
  <c r="F13" i="45" l="1"/>
  <c r="E13" i="45"/>
  <c r="D13" i="45"/>
  <c r="C16" i="51" l="1"/>
  <c r="W8" i="47"/>
  <c r="X8" i="47" s="1"/>
  <c r="W10" i="47"/>
  <c r="R34" i="46"/>
  <c r="C213" i="51" l="1"/>
  <c r="M213" i="51" s="1"/>
  <c r="M16" i="51"/>
  <c r="C31" i="51"/>
  <c r="M31" i="51" s="1"/>
  <c r="W18" i="47"/>
  <c r="B10" i="46" s="1"/>
  <c r="B12" i="46" s="1"/>
  <c r="J22" i="40" l="1"/>
  <c r="F26" i="34" s="1"/>
  <c r="H21" i="40"/>
  <c r="C33" i="40" s="1"/>
  <c r="H20" i="40"/>
  <c r="C32" i="40" s="1"/>
  <c r="H8" i="40"/>
  <c r="J8" i="40" s="1"/>
  <c r="E34" i="40" l="1"/>
  <c r="E35" i="40" s="1"/>
  <c r="C35" i="40"/>
  <c r="F26" i="45"/>
  <c r="J21" i="40"/>
  <c r="J20" i="40"/>
  <c r="F24" i="34" s="1"/>
  <c r="D8" i="44" l="1"/>
  <c r="F25" i="34"/>
  <c r="G28" i="45"/>
  <c r="G45" i="45" s="1"/>
  <c r="G28" i="34"/>
  <c r="G45" i="34" s="1"/>
  <c r="E19" i="40"/>
  <c r="F19" i="40" s="1"/>
  <c r="F24" i="45"/>
  <c r="F25" i="45"/>
  <c r="E26" i="45"/>
  <c r="L30" i="40"/>
  <c r="E24" i="45" l="1"/>
  <c r="C27" i="45"/>
  <c r="E27" i="45" s="1"/>
  <c r="E25" i="45"/>
  <c r="F11" i="44"/>
  <c r="E120" i="26"/>
  <c r="F45" i="26"/>
  <c r="G45" i="26"/>
  <c r="H45" i="26"/>
  <c r="I45" i="26"/>
  <c r="J45" i="26"/>
  <c r="K45" i="26"/>
  <c r="L45" i="26"/>
  <c r="M45" i="26"/>
  <c r="D45" i="26"/>
  <c r="N45" i="26" l="1"/>
  <c r="N105" i="26"/>
  <c r="N93" i="26"/>
  <c r="D27" i="45"/>
  <c r="D44" i="45" s="1"/>
  <c r="D45" i="45" s="1"/>
  <c r="D48" i="45" s="1"/>
  <c r="L165" i="26"/>
  <c r="D165" i="26"/>
  <c r="K165" i="26"/>
  <c r="G120" i="26"/>
  <c r="G165" i="26"/>
  <c r="H120" i="26"/>
  <c r="H165" i="26"/>
  <c r="J120" i="26"/>
  <c r="J165" i="26"/>
  <c r="F120" i="26"/>
  <c r="F165" i="26"/>
  <c r="M120" i="26"/>
  <c r="M165" i="26"/>
  <c r="I120" i="26"/>
  <c r="I165" i="26"/>
  <c r="E165" i="26"/>
  <c r="E163" i="26"/>
  <c r="K120" i="26"/>
  <c r="L120" i="26"/>
  <c r="D60" i="26" l="1"/>
  <c r="N43" i="26"/>
  <c r="N165" i="26"/>
  <c r="N103" i="26"/>
  <c r="D101" i="26"/>
  <c r="D120" i="26" s="1"/>
  <c r="D153" i="26"/>
  <c r="F163" i="26"/>
  <c r="D163" i="26"/>
  <c r="L163" i="26"/>
  <c r="M163" i="26"/>
  <c r="K163" i="26"/>
  <c r="J163" i="26"/>
  <c r="I163" i="26"/>
  <c r="H163" i="26"/>
  <c r="G163" i="26"/>
  <c r="L46" i="51" l="1"/>
  <c r="F46" i="51"/>
  <c r="J46" i="51"/>
  <c r="I46" i="51"/>
  <c r="H46" i="51"/>
  <c r="K46" i="51"/>
  <c r="G46" i="51"/>
  <c r="N153" i="26"/>
  <c r="D161" i="26"/>
  <c r="N163" i="26"/>
  <c r="N120" i="26"/>
  <c r="N101" i="26"/>
  <c r="L247" i="51" l="1"/>
  <c r="L59" i="51"/>
  <c r="H247" i="51"/>
  <c r="H59" i="51"/>
  <c r="J59" i="51"/>
  <c r="J247" i="51"/>
  <c r="K59" i="51"/>
  <c r="K247" i="51"/>
  <c r="I59" i="51"/>
  <c r="I247" i="51"/>
  <c r="F59" i="51"/>
  <c r="F247" i="51"/>
  <c r="G59" i="51"/>
  <c r="G247" i="51"/>
  <c r="N161" i="26"/>
  <c r="E15" i="26" l="1"/>
  <c r="F15" i="26"/>
  <c r="F31" i="26" s="1"/>
  <c r="F60" i="26" s="1"/>
  <c r="G15" i="26"/>
  <c r="H15" i="26"/>
  <c r="H31" i="26" s="1"/>
  <c r="H60" i="26" s="1"/>
  <c r="I15" i="26"/>
  <c r="I31" i="26" s="1"/>
  <c r="I60" i="26" s="1"/>
  <c r="J15" i="26"/>
  <c r="J31" i="26" s="1"/>
  <c r="J60" i="26" s="1"/>
  <c r="K15" i="26"/>
  <c r="K31" i="26" s="1"/>
  <c r="K60" i="26" s="1"/>
  <c r="L15" i="26"/>
  <c r="L31" i="26" s="1"/>
  <c r="L60" i="26" s="1"/>
  <c r="M15" i="26"/>
  <c r="M31" i="26" s="1"/>
  <c r="M60" i="26" s="1"/>
  <c r="E31" i="26" l="1"/>
  <c r="E60" i="26" s="1"/>
  <c r="N15" i="26"/>
  <c r="G31" i="26"/>
  <c r="G60" i="26" s="1"/>
  <c r="J51" i="26"/>
  <c r="J135" i="26"/>
  <c r="M51" i="26"/>
  <c r="M135" i="26"/>
  <c r="I51" i="26"/>
  <c r="I135" i="26"/>
  <c r="K51" i="26"/>
  <c r="K135" i="26"/>
  <c r="G51" i="26"/>
  <c r="G135" i="26"/>
  <c r="F51" i="26"/>
  <c r="F53" i="26" s="1"/>
  <c r="F135" i="26"/>
  <c r="L51" i="26"/>
  <c r="L135" i="26"/>
  <c r="H51" i="26"/>
  <c r="H135" i="26"/>
  <c r="D51" i="26"/>
  <c r="D135" i="26"/>
  <c r="E51" i="26"/>
  <c r="E53" i="26" s="1"/>
  <c r="E135" i="26"/>
  <c r="C15" i="51" l="1"/>
  <c r="D53" i="26"/>
  <c r="F15" i="51"/>
  <c r="F30" i="51" s="1"/>
  <c r="F33" i="51" s="1"/>
  <c r="G53" i="26"/>
  <c r="I15" i="51"/>
  <c r="J53" i="26"/>
  <c r="G15" i="51"/>
  <c r="G75" i="51" s="1"/>
  <c r="H53" i="26"/>
  <c r="J15" i="51"/>
  <c r="K53" i="26"/>
  <c r="K15" i="51"/>
  <c r="K214" i="51" s="1"/>
  <c r="K217" i="51" s="1"/>
  <c r="K218" i="51" s="1"/>
  <c r="L53" i="26"/>
  <c r="H15" i="51"/>
  <c r="H18" i="51" s="1"/>
  <c r="I53" i="26"/>
  <c r="L15" i="51"/>
  <c r="L30" i="51" s="1"/>
  <c r="L33" i="51" s="1"/>
  <c r="M53" i="26"/>
  <c r="E151" i="26"/>
  <c r="I67" i="49" s="1"/>
  <c r="H151" i="26"/>
  <c r="L67" i="49" s="1"/>
  <c r="F151" i="26"/>
  <c r="J67" i="49" s="1"/>
  <c r="K151" i="26"/>
  <c r="M151" i="26"/>
  <c r="L151" i="26"/>
  <c r="G151" i="26"/>
  <c r="K67" i="49" s="1"/>
  <c r="I151" i="26"/>
  <c r="M67" i="49" s="1"/>
  <c r="J151" i="26"/>
  <c r="H30" i="51"/>
  <c r="H33" i="51" s="1"/>
  <c r="I30" i="51"/>
  <c r="I33" i="51" s="1"/>
  <c r="I214" i="51"/>
  <c r="I217" i="51" s="1"/>
  <c r="I218" i="51" s="1"/>
  <c r="I18" i="51"/>
  <c r="I75" i="51"/>
  <c r="C36" i="46"/>
  <c r="D15" i="51"/>
  <c r="D36" i="46"/>
  <c r="D37" i="46" s="1"/>
  <c r="E15" i="51"/>
  <c r="J30" i="51"/>
  <c r="J33" i="51" s="1"/>
  <c r="J214" i="51"/>
  <c r="J217" i="51" s="1"/>
  <c r="J218" i="51" s="1"/>
  <c r="J18" i="51"/>
  <c r="J75" i="51"/>
  <c r="C18" i="51"/>
  <c r="C30" i="51"/>
  <c r="C214" i="51"/>
  <c r="N31" i="26"/>
  <c r="N135" i="26"/>
  <c r="D151" i="26"/>
  <c r="M178" i="26"/>
  <c r="N60" i="26"/>
  <c r="N51" i="26"/>
  <c r="B36" i="46"/>
  <c r="J171" i="26"/>
  <c r="H55" i="46" s="1"/>
  <c r="H36" i="46"/>
  <c r="G171" i="26"/>
  <c r="E36" i="46"/>
  <c r="M171" i="26"/>
  <c r="K55" i="46" s="1"/>
  <c r="K36" i="46"/>
  <c r="L171" i="26"/>
  <c r="J55" i="46" s="1"/>
  <c r="J36" i="46"/>
  <c r="I171" i="26"/>
  <c r="G36" i="46"/>
  <c r="H171" i="26"/>
  <c r="F36" i="46"/>
  <c r="K171" i="26"/>
  <c r="I55" i="46" s="1"/>
  <c r="I36" i="46"/>
  <c r="L129" i="26"/>
  <c r="K129" i="26"/>
  <c r="J129" i="26"/>
  <c r="I129" i="26"/>
  <c r="H129" i="26"/>
  <c r="G129" i="26"/>
  <c r="I178" i="26" l="1"/>
  <c r="H75" i="51"/>
  <c r="H280" i="51" s="1"/>
  <c r="H214" i="51"/>
  <c r="H217" i="51" s="1"/>
  <c r="H218" i="51" s="1"/>
  <c r="L214" i="51"/>
  <c r="L217" i="51" s="1"/>
  <c r="L218" i="51" s="1"/>
  <c r="G30" i="51"/>
  <c r="G33" i="51" s="1"/>
  <c r="F214" i="51"/>
  <c r="F217" i="51" s="1"/>
  <c r="F218" i="51" s="1"/>
  <c r="G178" i="26"/>
  <c r="L75" i="51"/>
  <c r="L88" i="51" s="1"/>
  <c r="G18" i="51"/>
  <c r="F75" i="51"/>
  <c r="F88" i="51" s="1"/>
  <c r="K75" i="51"/>
  <c r="K280" i="51" s="1"/>
  <c r="H178" i="26"/>
  <c r="L178" i="26"/>
  <c r="K30" i="51"/>
  <c r="K33" i="51" s="1"/>
  <c r="L18" i="51"/>
  <c r="G214" i="51"/>
  <c r="G217" i="51" s="1"/>
  <c r="G218" i="51" s="1"/>
  <c r="F18" i="51"/>
  <c r="K18" i="51"/>
  <c r="M55" i="26"/>
  <c r="N53" i="26"/>
  <c r="K178" i="26"/>
  <c r="J178" i="26"/>
  <c r="N151" i="26"/>
  <c r="H67" i="49"/>
  <c r="G55" i="46"/>
  <c r="F55" i="46"/>
  <c r="E55" i="46"/>
  <c r="C46" i="51"/>
  <c r="N46" i="46"/>
  <c r="B37" i="46"/>
  <c r="B38" i="46" s="1"/>
  <c r="C37" i="46"/>
  <c r="N36" i="46"/>
  <c r="N37" i="46" s="1"/>
  <c r="M15" i="51"/>
  <c r="N18" i="51" s="1"/>
  <c r="E46" i="51"/>
  <c r="E75" i="51" s="1"/>
  <c r="J88" i="51"/>
  <c r="J280" i="51"/>
  <c r="E214" i="51"/>
  <c r="E217" i="51" s="1"/>
  <c r="E218" i="51" s="1"/>
  <c r="E30" i="51"/>
  <c r="E33" i="51" s="1"/>
  <c r="E18" i="51"/>
  <c r="I88" i="51"/>
  <c r="I280" i="51"/>
  <c r="D46" i="51"/>
  <c r="D59" i="51" s="1"/>
  <c r="G280" i="51"/>
  <c r="G88" i="51"/>
  <c r="D214" i="51"/>
  <c r="D217" i="51" s="1"/>
  <c r="D218" i="51" s="1"/>
  <c r="D30" i="51"/>
  <c r="D33" i="51" s="1"/>
  <c r="D18" i="51"/>
  <c r="C217" i="51"/>
  <c r="C218" i="51" s="1"/>
  <c r="C33" i="51"/>
  <c r="D66" i="46"/>
  <c r="C66" i="46"/>
  <c r="K37" i="46"/>
  <c r="K66" i="46"/>
  <c r="H37" i="46"/>
  <c r="H66" i="46"/>
  <c r="I37" i="46"/>
  <c r="I66" i="46"/>
  <c r="G37" i="46"/>
  <c r="G66" i="46"/>
  <c r="F37" i="46"/>
  <c r="F66" i="46"/>
  <c r="J37" i="46"/>
  <c r="J66" i="46"/>
  <c r="E37" i="46"/>
  <c r="E66" i="46"/>
  <c r="N111" i="26"/>
  <c r="D171" i="26"/>
  <c r="D129" i="26"/>
  <c r="F171" i="26"/>
  <c r="F129" i="26"/>
  <c r="E171" i="26"/>
  <c r="E129" i="26"/>
  <c r="K88" i="51" l="1"/>
  <c r="H88" i="51"/>
  <c r="F280" i="51"/>
  <c r="L280" i="51"/>
  <c r="E178" i="26"/>
  <c r="F178" i="26"/>
  <c r="D178" i="26"/>
  <c r="D55" i="46"/>
  <c r="C55" i="46"/>
  <c r="R67" i="49"/>
  <c r="B55" i="46"/>
  <c r="C38" i="46"/>
  <c r="D38" i="46" s="1"/>
  <c r="E38" i="46" s="1"/>
  <c r="F38" i="46" s="1"/>
  <c r="G38" i="46" s="1"/>
  <c r="H38" i="46" s="1"/>
  <c r="I38" i="46" s="1"/>
  <c r="J38" i="46" s="1"/>
  <c r="K38" i="46" s="1"/>
  <c r="D75" i="51"/>
  <c r="D88" i="51" s="1"/>
  <c r="E59" i="51"/>
  <c r="O37" i="46"/>
  <c r="P37" i="46"/>
  <c r="M46" i="51"/>
  <c r="M18" i="51"/>
  <c r="M214" i="51"/>
  <c r="D247" i="51"/>
  <c r="C75" i="51"/>
  <c r="C88" i="51" s="1"/>
  <c r="E247" i="51"/>
  <c r="M33" i="51"/>
  <c r="C59" i="51"/>
  <c r="C247" i="51"/>
  <c r="M30" i="51"/>
  <c r="N33" i="51" s="1"/>
  <c r="N113" i="26"/>
  <c r="E88" i="51"/>
  <c r="E280" i="51"/>
  <c r="M237" i="51"/>
  <c r="O237" i="51" s="1"/>
  <c r="M217" i="51"/>
  <c r="C221" i="51"/>
  <c r="D221" i="51" s="1"/>
  <c r="E221" i="51" s="1"/>
  <c r="F221" i="51" s="1"/>
  <c r="G221" i="51" s="1"/>
  <c r="M173" i="26"/>
  <c r="I173" i="26" s="1"/>
  <c r="J40" i="46"/>
  <c r="N129" i="26"/>
  <c r="N171" i="26"/>
  <c r="M115" i="26"/>
  <c r="N178" i="26" l="1"/>
  <c r="N55" i="46"/>
  <c r="M59" i="51"/>
  <c r="D280" i="51"/>
  <c r="M247" i="51"/>
  <c r="M75" i="51"/>
  <c r="C280" i="51"/>
  <c r="G223" i="51"/>
  <c r="M224" i="51" s="1"/>
  <c r="O224" i="51" s="1"/>
  <c r="H221" i="51"/>
  <c r="I221" i="51" s="1"/>
  <c r="J221" i="51" s="1"/>
  <c r="K221" i="51" s="1"/>
  <c r="L221" i="51" s="1"/>
  <c r="M218" i="51"/>
  <c r="C227" i="51"/>
  <c r="D227" i="51" s="1"/>
  <c r="E227" i="51" s="1"/>
  <c r="F227" i="51" s="1"/>
  <c r="G227" i="51" s="1"/>
  <c r="H227" i="51" s="1"/>
  <c r="M232" i="51"/>
  <c r="M88" i="51"/>
  <c r="H115" i="26"/>
  <c r="W53" i="26"/>
  <c r="X53" i="26" s="1"/>
  <c r="W113" i="26"/>
  <c r="E7" i="44"/>
  <c r="I7" i="44" s="1"/>
  <c r="M280" i="51" l="1"/>
  <c r="O232" i="51"/>
  <c r="M235" i="51"/>
  <c r="O235" i="51" s="1"/>
  <c r="I227" i="51"/>
  <c r="J227" i="51" s="1"/>
  <c r="K227" i="51" s="1"/>
  <c r="L227" i="51" s="1"/>
  <c r="H229" i="51"/>
  <c r="M230" i="51" s="1"/>
  <c r="O230" i="51" s="1"/>
  <c r="D22" i="45" l="1"/>
  <c r="E21" i="45"/>
  <c r="C9" i="44" l="1"/>
  <c r="C10" i="44"/>
  <c r="F28" i="45"/>
  <c r="D28" i="45"/>
  <c r="C28" i="45"/>
  <c r="F45" i="45" s="1"/>
  <c r="C22" i="45"/>
  <c r="E22" i="45" s="1"/>
  <c r="C11" i="44" l="1"/>
  <c r="D31" i="45"/>
  <c r="F46" i="45"/>
  <c r="E28" i="45"/>
  <c r="M19" i="44" l="1"/>
  <c r="N19" i="44" s="1"/>
  <c r="N10" i="44"/>
  <c r="N12" i="44" s="1"/>
  <c r="M10" i="44"/>
  <c r="M12" i="44" s="1"/>
  <c r="F19" i="44"/>
  <c r="R53" i="46"/>
  <c r="C47" i="51"/>
  <c r="W22" i="47"/>
  <c r="L38" i="40"/>
  <c r="B50" i="45"/>
  <c r="W35" i="47" l="1"/>
  <c r="X35" i="47" s="1"/>
  <c r="X40" i="47"/>
  <c r="X41" i="47"/>
  <c r="X39" i="47"/>
  <c r="X42" i="47"/>
  <c r="X38" i="47"/>
  <c r="X43" i="47"/>
  <c r="X36" i="47"/>
  <c r="M38" i="40"/>
  <c r="M39" i="40" s="1"/>
  <c r="L39" i="40"/>
  <c r="W24" i="47"/>
  <c r="W37" i="47" s="1"/>
  <c r="X26" i="47"/>
  <c r="X30" i="47"/>
  <c r="X27" i="47"/>
  <c r="X28" i="47"/>
  <c r="X29" i="47"/>
  <c r="X25" i="47"/>
  <c r="X22" i="47"/>
  <c r="X23" i="47"/>
  <c r="M47" i="51"/>
  <c r="C60" i="51"/>
  <c r="M60" i="51" s="1"/>
  <c r="C246" i="51"/>
  <c r="C76" i="51"/>
  <c r="X37" i="47" l="1"/>
  <c r="X44" i="47" s="1"/>
  <c r="W44" i="47"/>
  <c r="M246" i="51"/>
  <c r="M76" i="51"/>
  <c r="C89" i="51"/>
  <c r="M89" i="51" s="1"/>
  <c r="C279" i="51"/>
  <c r="X24" i="47"/>
  <c r="X31" i="47" s="1"/>
  <c r="W31" i="47"/>
  <c r="E42" i="43"/>
  <c r="D25" i="43"/>
  <c r="C249" i="51" s="1"/>
  <c r="E25" i="43"/>
  <c r="E31" i="43" s="1"/>
  <c r="D45" i="51" s="1"/>
  <c r="D58" i="51" s="1"/>
  <c r="D42" i="43"/>
  <c r="H60" i="49" s="1"/>
  <c r="G25" i="43"/>
  <c r="G31" i="43" s="1"/>
  <c r="F45" i="51" s="1"/>
  <c r="B26" i="46" l="1"/>
  <c r="B17" i="46"/>
  <c r="D249" i="51"/>
  <c r="D250" i="51" s="1"/>
  <c r="D251" i="51" s="1"/>
  <c r="D74" i="51"/>
  <c r="D62" i="51"/>
  <c r="D49" i="51"/>
  <c r="F249" i="51"/>
  <c r="F250" i="51" s="1"/>
  <c r="F251" i="51" s="1"/>
  <c r="F74" i="51"/>
  <c r="F58" i="51"/>
  <c r="F62" i="51" s="1"/>
  <c r="F49" i="51"/>
  <c r="M279" i="51"/>
  <c r="D31" i="43"/>
  <c r="C45" i="51" s="1"/>
  <c r="C58" i="51" s="1"/>
  <c r="G42" i="43"/>
  <c r="F42" i="43"/>
  <c r="E45" i="46"/>
  <c r="G47" i="43"/>
  <c r="E54" i="46" s="1"/>
  <c r="E56" i="46" s="1"/>
  <c r="C45" i="46"/>
  <c r="E47" i="43"/>
  <c r="C54" i="46" s="1"/>
  <c r="H25" i="43"/>
  <c r="D41" i="43"/>
  <c r="F25" i="43"/>
  <c r="E41" i="43"/>
  <c r="I60" i="49" s="1"/>
  <c r="G41" i="43"/>
  <c r="K60" i="49" s="1"/>
  <c r="B45" i="46" l="1"/>
  <c r="B54" i="46" s="1"/>
  <c r="S60" i="49"/>
  <c r="R60" i="49"/>
  <c r="H48" i="49"/>
  <c r="H89" i="49"/>
  <c r="G16" i="48"/>
  <c r="H62" i="49"/>
  <c r="C56" i="46"/>
  <c r="F87" i="51"/>
  <c r="F91" i="51" s="1"/>
  <c r="F282" i="51"/>
  <c r="F283" i="51" s="1"/>
  <c r="F284" i="51" s="1"/>
  <c r="F78" i="51"/>
  <c r="D87" i="51"/>
  <c r="D91" i="51" s="1"/>
  <c r="D282" i="51"/>
  <c r="D283" i="51" s="1"/>
  <c r="D284" i="51" s="1"/>
  <c r="D78" i="51"/>
  <c r="C47" i="46"/>
  <c r="C65" i="46"/>
  <c r="D47" i="43"/>
  <c r="E47" i="46"/>
  <c r="E65" i="46"/>
  <c r="I25" i="43"/>
  <c r="I31" i="43" s="1"/>
  <c r="H45" i="51" s="1"/>
  <c r="I42" i="43"/>
  <c r="H42" i="43"/>
  <c r="I48" i="49"/>
  <c r="K48" i="49"/>
  <c r="H31" i="43"/>
  <c r="G45" i="51" s="1"/>
  <c r="H41" i="43"/>
  <c r="L60" i="49" s="1"/>
  <c r="F41" i="43"/>
  <c r="J60" i="49" s="1"/>
  <c r="F31" i="43"/>
  <c r="E45" i="51" s="1"/>
  <c r="J42" i="43"/>
  <c r="D67" i="48" l="1"/>
  <c r="P22" i="48"/>
  <c r="P17" i="48"/>
  <c r="T60" i="49"/>
  <c r="V60" i="49"/>
  <c r="C250" i="51"/>
  <c r="C49" i="51"/>
  <c r="C74" i="51"/>
  <c r="B47" i="46"/>
  <c r="B48" i="46" s="1"/>
  <c r="C48" i="46" s="1"/>
  <c r="G40" i="48"/>
  <c r="U60" i="49"/>
  <c r="J48" i="49"/>
  <c r="J49" i="49" s="1"/>
  <c r="H49" i="49"/>
  <c r="L48" i="49"/>
  <c r="L49" i="49" s="1"/>
  <c r="R62" i="49"/>
  <c r="H91" i="49"/>
  <c r="H11" i="49"/>
  <c r="AF5" i="49" s="1"/>
  <c r="H77" i="49"/>
  <c r="H68" i="49"/>
  <c r="G58" i="51"/>
  <c r="G62" i="51" s="1"/>
  <c r="G249" i="51"/>
  <c r="G250" i="51" s="1"/>
  <c r="G251" i="51" s="1"/>
  <c r="G74" i="51"/>
  <c r="G49" i="51"/>
  <c r="E58" i="51"/>
  <c r="E62" i="51" s="1"/>
  <c r="E74" i="51"/>
  <c r="E249" i="51"/>
  <c r="E250" i="51" s="1"/>
  <c r="E251" i="51" s="1"/>
  <c r="E49" i="51"/>
  <c r="H58" i="51"/>
  <c r="H62" i="51" s="1"/>
  <c r="H74" i="51"/>
  <c r="H249" i="51"/>
  <c r="H250" i="51" s="1"/>
  <c r="H251" i="51" s="1"/>
  <c r="H49" i="51"/>
  <c r="C62" i="51"/>
  <c r="I49" i="49"/>
  <c r="K49" i="49"/>
  <c r="I41" i="43"/>
  <c r="M60" i="49" s="1"/>
  <c r="J25" i="43"/>
  <c r="J41" i="43" s="1"/>
  <c r="I62" i="49"/>
  <c r="S62" i="49" s="1"/>
  <c r="H16" i="48"/>
  <c r="I89" i="49"/>
  <c r="K16" i="48"/>
  <c r="L62" i="49"/>
  <c r="L89" i="49"/>
  <c r="J16" i="48"/>
  <c r="K62" i="49"/>
  <c r="K89" i="49"/>
  <c r="I16" i="48"/>
  <c r="J62" i="49"/>
  <c r="J89" i="49"/>
  <c r="D45" i="46"/>
  <c r="F47" i="43"/>
  <c r="G45" i="46"/>
  <c r="I47" i="43"/>
  <c r="G54" i="46" s="1"/>
  <c r="G56" i="46" s="1"/>
  <c r="K42" i="43"/>
  <c r="K25" i="43"/>
  <c r="B56" i="46"/>
  <c r="B57" i="46" s="1"/>
  <c r="C57" i="46" s="1"/>
  <c r="F45" i="46"/>
  <c r="H47" i="43"/>
  <c r="F54" i="46" s="1"/>
  <c r="F56" i="46" s="1"/>
  <c r="F67" i="48" l="1"/>
  <c r="F68" i="48" s="1"/>
  <c r="R22" i="48"/>
  <c r="E67" i="48"/>
  <c r="E68" i="48" s="1"/>
  <c r="Q22" i="48"/>
  <c r="H67" i="48"/>
  <c r="T22" i="48"/>
  <c r="G67" i="48"/>
  <c r="G68" i="48" s="1"/>
  <c r="S22" i="48"/>
  <c r="D69" i="48"/>
  <c r="P23" i="48"/>
  <c r="G21" i="48" s="1"/>
  <c r="G20" i="48"/>
  <c r="L16" i="48"/>
  <c r="C87" i="51"/>
  <c r="C91" i="51" s="1"/>
  <c r="C282" i="51"/>
  <c r="C283" i="51" s="1"/>
  <c r="C78" i="51"/>
  <c r="Q17" i="48"/>
  <c r="T17" i="48"/>
  <c r="T18" i="48" s="1"/>
  <c r="R17" i="48"/>
  <c r="R18" i="48" s="1"/>
  <c r="S17" i="48"/>
  <c r="S18" i="48" s="1"/>
  <c r="AF7" i="49"/>
  <c r="AF6" i="49"/>
  <c r="U62" i="49"/>
  <c r="T62" i="49"/>
  <c r="V62" i="49"/>
  <c r="W60" i="49"/>
  <c r="R74" i="49" s="1"/>
  <c r="V74" i="49" s="1"/>
  <c r="M62" i="49"/>
  <c r="M89" i="49"/>
  <c r="N89" i="49" s="1"/>
  <c r="M48" i="49"/>
  <c r="R68" i="49"/>
  <c r="H97" i="49"/>
  <c r="H83" i="49"/>
  <c r="H17" i="49"/>
  <c r="D65" i="46"/>
  <c r="C254" i="51"/>
  <c r="D254" i="51" s="1"/>
  <c r="E254" i="51" s="1"/>
  <c r="F254" i="51" s="1"/>
  <c r="G254" i="51" s="1"/>
  <c r="H254" i="51" s="1"/>
  <c r="C251" i="51"/>
  <c r="G87" i="51"/>
  <c r="G91" i="51" s="1"/>
  <c r="G282" i="51"/>
  <c r="G283" i="51" s="1"/>
  <c r="G284" i="51" s="1"/>
  <c r="G78" i="51"/>
  <c r="E87" i="51"/>
  <c r="E91" i="51" s="1"/>
  <c r="E282" i="51"/>
  <c r="E78" i="51"/>
  <c r="H87" i="51"/>
  <c r="H91" i="51" s="1"/>
  <c r="H282" i="51"/>
  <c r="H283" i="51" s="1"/>
  <c r="H284" i="51" s="1"/>
  <c r="H78" i="51"/>
  <c r="F47" i="46"/>
  <c r="F65" i="46"/>
  <c r="G47" i="46"/>
  <c r="G65" i="46"/>
  <c r="J31" i="43"/>
  <c r="I45" i="51" s="1"/>
  <c r="J68" i="49"/>
  <c r="J91" i="49"/>
  <c r="J77" i="49"/>
  <c r="J11" i="49"/>
  <c r="J40" i="48"/>
  <c r="J51" i="48" s="1"/>
  <c r="J52" i="48" s="1"/>
  <c r="L68" i="49"/>
  <c r="L91" i="49"/>
  <c r="L11" i="49"/>
  <c r="L77" i="49"/>
  <c r="K91" i="49"/>
  <c r="K68" i="49"/>
  <c r="K77" i="49"/>
  <c r="K11" i="49"/>
  <c r="K40" i="48"/>
  <c r="K51" i="48" s="1"/>
  <c r="K52" i="48" s="1"/>
  <c r="I91" i="49"/>
  <c r="I68" i="49"/>
  <c r="I77" i="49"/>
  <c r="I11" i="49"/>
  <c r="I40" i="48"/>
  <c r="I51" i="48" s="1"/>
  <c r="I52" i="48" s="1"/>
  <c r="H40" i="48"/>
  <c r="H51" i="48" s="1"/>
  <c r="D54" i="46"/>
  <c r="L25" i="43"/>
  <c r="L42" i="43"/>
  <c r="D47" i="46"/>
  <c r="D48" i="46" s="1"/>
  <c r="E48" i="46" s="1"/>
  <c r="K41" i="43"/>
  <c r="K31" i="43"/>
  <c r="J45" i="51" s="1"/>
  <c r="C287" i="51" l="1"/>
  <c r="D287" i="51" s="1"/>
  <c r="I67" i="48"/>
  <c r="K67" i="48" s="1"/>
  <c r="U22" i="48"/>
  <c r="E69" i="48"/>
  <c r="G69" i="48"/>
  <c r="D68" i="48"/>
  <c r="F69" i="48"/>
  <c r="T23" i="48"/>
  <c r="K21" i="48" s="1"/>
  <c r="K20" i="48"/>
  <c r="U17" i="48"/>
  <c r="U18" i="48" s="1"/>
  <c r="V18" i="48" s="1"/>
  <c r="N16" i="48" s="1"/>
  <c r="V22" i="48"/>
  <c r="M20" i="48" s="1"/>
  <c r="J20" i="48"/>
  <c r="S23" i="48"/>
  <c r="J21" i="48" s="1"/>
  <c r="H20" i="48"/>
  <c r="Q23" i="48"/>
  <c r="H21" i="48" s="1"/>
  <c r="I20" i="48"/>
  <c r="R23" i="48"/>
  <c r="I21" i="48" s="1"/>
  <c r="AF12" i="49"/>
  <c r="AF13" i="49" s="1"/>
  <c r="AF14" i="49"/>
  <c r="L40" i="48"/>
  <c r="L51" i="48" s="1"/>
  <c r="L52" i="48" s="1"/>
  <c r="M16" i="48"/>
  <c r="C284" i="51"/>
  <c r="C293" i="51" s="1"/>
  <c r="D293" i="51" s="1"/>
  <c r="AI5" i="49"/>
  <c r="AI6" i="49" s="1"/>
  <c r="AI7" i="49"/>
  <c r="AG7" i="49"/>
  <c r="AG5" i="49"/>
  <c r="AG6" i="49" s="1"/>
  <c r="AJ5" i="49"/>
  <c r="AJ6" i="49" s="1"/>
  <c r="AJ7" i="49"/>
  <c r="AH5" i="49"/>
  <c r="AH6" i="49" s="1"/>
  <c r="AH7" i="49"/>
  <c r="I97" i="49"/>
  <c r="S68" i="49"/>
  <c r="L97" i="49"/>
  <c r="V68" i="49"/>
  <c r="K97" i="49"/>
  <c r="U68" i="49"/>
  <c r="J97" i="49"/>
  <c r="T68" i="49"/>
  <c r="M68" i="49"/>
  <c r="W62" i="49"/>
  <c r="R76" i="49" s="1"/>
  <c r="V76" i="49" s="1"/>
  <c r="M91" i="49"/>
  <c r="N91" i="49" s="1"/>
  <c r="M77" i="49"/>
  <c r="N77" i="49" s="1"/>
  <c r="M11" i="49"/>
  <c r="AR4" i="49" s="1"/>
  <c r="M49" i="49"/>
  <c r="M50" i="49" s="1"/>
  <c r="J249" i="51"/>
  <c r="J250" i="51" s="1"/>
  <c r="J251" i="51" s="1"/>
  <c r="J58" i="51"/>
  <c r="J62" i="51" s="1"/>
  <c r="J74" i="51"/>
  <c r="J49" i="51"/>
  <c r="C260" i="51"/>
  <c r="D260" i="51" s="1"/>
  <c r="E260" i="51" s="1"/>
  <c r="F260" i="51" s="1"/>
  <c r="G260" i="51" s="1"/>
  <c r="H260" i="51" s="1"/>
  <c r="I249" i="51"/>
  <c r="I74" i="51"/>
  <c r="I58" i="51"/>
  <c r="I49" i="51"/>
  <c r="E283" i="51"/>
  <c r="F48" i="46"/>
  <c r="G48" i="46" s="1"/>
  <c r="J47" i="43"/>
  <c r="H45" i="46"/>
  <c r="H52" i="48"/>
  <c r="I83" i="49"/>
  <c r="I17" i="49"/>
  <c r="K83" i="49"/>
  <c r="K17" i="49"/>
  <c r="AI14" i="49" s="1"/>
  <c r="L83" i="49"/>
  <c r="L17" i="49"/>
  <c r="AJ14" i="49" s="1"/>
  <c r="J17" i="49"/>
  <c r="AH14" i="49" s="1"/>
  <c r="J83" i="49"/>
  <c r="M25" i="43"/>
  <c r="N25" i="43" s="1"/>
  <c r="M42" i="43"/>
  <c r="N42" i="43" s="1"/>
  <c r="I45" i="46"/>
  <c r="K47" i="43"/>
  <c r="I54" i="46" s="1"/>
  <c r="I56" i="46" s="1"/>
  <c r="L31" i="43"/>
  <c r="K45" i="51" s="1"/>
  <c r="L41" i="43"/>
  <c r="D56" i="46"/>
  <c r="D57" i="46" s="1"/>
  <c r="E57" i="46" s="1"/>
  <c r="F57" i="46" s="1"/>
  <c r="G57" i="46" s="1"/>
  <c r="I69" i="48" l="1"/>
  <c r="I68" i="48"/>
  <c r="V17" i="48"/>
  <c r="L20" i="48"/>
  <c r="U23" i="48"/>
  <c r="L21" i="48" s="1"/>
  <c r="M52" i="48"/>
  <c r="AG12" i="49"/>
  <c r="AG13" i="49" s="1"/>
  <c r="AG14" i="49"/>
  <c r="M51" i="48"/>
  <c r="H68" i="48"/>
  <c r="K68" i="48" s="1"/>
  <c r="H69" i="48"/>
  <c r="AH12" i="49"/>
  <c r="AH13" i="49" s="1"/>
  <c r="AI12" i="49"/>
  <c r="AI13" i="49" s="1"/>
  <c r="AK7" i="49"/>
  <c r="AL7" i="49" s="1"/>
  <c r="AK5" i="49"/>
  <c r="AJ12" i="49"/>
  <c r="AJ13" i="49" s="1"/>
  <c r="W68" i="49"/>
  <c r="R82" i="49" s="1"/>
  <c r="V82" i="49" s="1"/>
  <c r="M97" i="49"/>
  <c r="N97" i="49" s="1"/>
  <c r="M83" i="49"/>
  <c r="N83" i="49" s="1"/>
  <c r="M17" i="49"/>
  <c r="E284" i="51"/>
  <c r="I87" i="51"/>
  <c r="I282" i="51"/>
  <c r="I78" i="51"/>
  <c r="J87" i="51"/>
  <c r="J91" i="51" s="1"/>
  <c r="J282" i="51"/>
  <c r="J283" i="51" s="1"/>
  <c r="J284" i="51" s="1"/>
  <c r="J78" i="51"/>
  <c r="I250" i="51"/>
  <c r="K249" i="51"/>
  <c r="K250" i="51" s="1"/>
  <c r="K251" i="51" s="1"/>
  <c r="K74" i="51"/>
  <c r="K58" i="51"/>
  <c r="K62" i="51" s="1"/>
  <c r="K49" i="51"/>
  <c r="I62" i="51"/>
  <c r="E287" i="51"/>
  <c r="H54" i="46"/>
  <c r="I47" i="46"/>
  <c r="I65" i="46"/>
  <c r="H47" i="46"/>
  <c r="H48" i="46" s="1"/>
  <c r="H65" i="46"/>
  <c r="J45" i="46"/>
  <c r="J65" i="46" s="1"/>
  <c r="L47" i="43"/>
  <c r="M41" i="43"/>
  <c r="N41" i="43" s="1"/>
  <c r="M31" i="43"/>
  <c r="L45" i="51" s="1"/>
  <c r="E293" i="51" l="1"/>
  <c r="F293" i="51" s="1"/>
  <c r="G293" i="51" s="1"/>
  <c r="H293" i="51" s="1"/>
  <c r="K69" i="48"/>
  <c r="V23" i="48"/>
  <c r="M21" i="48" s="1"/>
  <c r="AK12" i="49"/>
  <c r="AK13" i="49" s="1"/>
  <c r="AL13" i="49" s="1"/>
  <c r="AK14" i="49"/>
  <c r="AL14" i="49" s="1"/>
  <c r="AR11" i="49"/>
  <c r="AL5" i="49"/>
  <c r="AK6" i="49"/>
  <c r="AL6" i="49" s="1"/>
  <c r="F287" i="51"/>
  <c r="G287" i="51" s="1"/>
  <c r="H287" i="51" s="1"/>
  <c r="H56" i="46"/>
  <c r="H57" i="46" s="1"/>
  <c r="I57" i="46" s="1"/>
  <c r="I48" i="46"/>
  <c r="L249" i="51"/>
  <c r="L74" i="51"/>
  <c r="M74" i="51" s="1"/>
  <c r="N78" i="51" s="1"/>
  <c r="L58" i="51"/>
  <c r="L49" i="51"/>
  <c r="M49" i="51" s="1"/>
  <c r="K282" i="51"/>
  <c r="K283" i="51" s="1"/>
  <c r="K284" i="51" s="1"/>
  <c r="K87" i="51"/>
  <c r="K91" i="51" s="1"/>
  <c r="K78" i="51"/>
  <c r="I251" i="51"/>
  <c r="H256" i="51"/>
  <c r="M257" i="51" s="1"/>
  <c r="O257" i="51" s="1"/>
  <c r="I254" i="51"/>
  <c r="J254" i="51" s="1"/>
  <c r="K254" i="51" s="1"/>
  <c r="I283" i="51"/>
  <c r="I91" i="51"/>
  <c r="M45" i="51"/>
  <c r="N49" i="51" s="1"/>
  <c r="N31" i="43"/>
  <c r="M33" i="43"/>
  <c r="J47" i="46"/>
  <c r="M47" i="43"/>
  <c r="M49" i="43" s="1"/>
  <c r="K45" i="46"/>
  <c r="N45" i="46" s="1"/>
  <c r="J54" i="46"/>
  <c r="AL12" i="49" l="1"/>
  <c r="X17" i="43"/>
  <c r="H289" i="51"/>
  <c r="M290" i="51" s="1"/>
  <c r="O290" i="51" s="1"/>
  <c r="J48" i="46"/>
  <c r="I287" i="51"/>
  <c r="L250" i="51"/>
  <c r="M270" i="51" s="1"/>
  <c r="M249" i="51"/>
  <c r="I260" i="51"/>
  <c r="I284" i="51"/>
  <c r="L62" i="51"/>
  <c r="M62" i="51" s="1"/>
  <c r="M58" i="51"/>
  <c r="N62" i="51" s="1"/>
  <c r="L282" i="51"/>
  <c r="L283" i="51" s="1"/>
  <c r="L284" i="51" s="1"/>
  <c r="L78" i="51"/>
  <c r="M78" i="51" s="1"/>
  <c r="L87" i="51"/>
  <c r="K47" i="46"/>
  <c r="J50" i="46" s="1"/>
  <c r="K65" i="46"/>
  <c r="K54" i="46"/>
  <c r="N47" i="43"/>
  <c r="N47" i="46"/>
  <c r="P47" i="46" s="1"/>
  <c r="J56" i="46"/>
  <c r="J57" i="46" s="1"/>
  <c r="O270" i="51" l="1"/>
  <c r="O271" i="51"/>
  <c r="M299" i="51"/>
  <c r="J260" i="51"/>
  <c r="K260" i="51" s="1"/>
  <c r="I262" i="51"/>
  <c r="J287" i="51"/>
  <c r="K287" i="51" s="1"/>
  <c r="L287" i="51" s="1"/>
  <c r="K56" i="46"/>
  <c r="J59" i="46" s="1"/>
  <c r="K59" i="46" s="1"/>
  <c r="N54" i="46"/>
  <c r="M282" i="51"/>
  <c r="M283" i="51"/>
  <c r="L251" i="51"/>
  <c r="M265" i="51" s="1"/>
  <c r="M268" i="51" s="1"/>
  <c r="O268" i="51" s="1"/>
  <c r="M250" i="51"/>
  <c r="L91" i="51"/>
  <c r="M91" i="51" s="1"/>
  <c r="M87" i="51"/>
  <c r="N91" i="51" s="1"/>
  <c r="L254" i="51"/>
  <c r="I293" i="51"/>
  <c r="M298" i="51"/>
  <c r="M302" i="51" s="1"/>
  <c r="O302" i="51" s="1"/>
  <c r="M284" i="51"/>
  <c r="M304" i="51"/>
  <c r="K48" i="46"/>
  <c r="O47" i="46"/>
  <c r="K50" i="46"/>
  <c r="O305" i="51" l="1"/>
  <c r="O304" i="51"/>
  <c r="M263" i="51"/>
  <c r="O263" i="51" s="1"/>
  <c r="N56" i="46"/>
  <c r="O56" i="46" s="1"/>
  <c r="V67" i="49"/>
  <c r="K57" i="46"/>
  <c r="J96" i="49"/>
  <c r="T67" i="49"/>
  <c r="I96" i="49"/>
  <c r="S67" i="49"/>
  <c r="M96" i="49"/>
  <c r="W67" i="49"/>
  <c r="M16" i="49"/>
  <c r="M82" i="49"/>
  <c r="K96" i="49"/>
  <c r="U67" i="49"/>
  <c r="M251" i="51"/>
  <c r="L260" i="51"/>
  <c r="M300" i="51"/>
  <c r="O298" i="51"/>
  <c r="J293" i="51"/>
  <c r="K293" i="51" s="1"/>
  <c r="L293" i="51" s="1"/>
  <c r="I295" i="51"/>
  <c r="M296" i="51" s="1"/>
  <c r="O296" i="51" s="1"/>
  <c r="L16" i="49"/>
  <c r="L96" i="49"/>
  <c r="K16" i="49"/>
  <c r="K82" i="49"/>
  <c r="I16" i="49"/>
  <c r="I82" i="49"/>
  <c r="L82" i="49"/>
  <c r="J82" i="49"/>
  <c r="J16" i="49"/>
  <c r="P56" i="46" l="1"/>
  <c r="R20" i="49"/>
  <c r="R21" i="49" s="1"/>
  <c r="S20" i="49"/>
  <c r="S21" i="49" s="1"/>
  <c r="Z19" i="49"/>
  <c r="U20" i="49"/>
  <c r="U21" i="49" s="1"/>
  <c r="T20" i="49"/>
  <c r="T21" i="49" s="1"/>
  <c r="N96" i="49"/>
  <c r="N82" i="49"/>
  <c r="O265" i="51"/>
  <c r="H16" i="49"/>
  <c r="H96" i="49"/>
  <c r="H82" i="49"/>
  <c r="Q20" i="49" l="1"/>
  <c r="Q21" i="49" s="1"/>
  <c r="P20" i="49"/>
  <c r="P21" i="49" s="1"/>
  <c r="R81" i="49"/>
  <c r="V81" i="49" s="1"/>
  <c r="V21" i="49" l="1"/>
  <c r="V20" i="49"/>
  <c r="F18" i="40"/>
  <c r="D9" i="44" l="1"/>
  <c r="E9" i="44" s="1"/>
  <c r="D10" i="44"/>
  <c r="E10" i="44" s="1"/>
  <c r="H10" i="44" s="1"/>
  <c r="F17" i="40"/>
  <c r="F23" i="40" l="1"/>
  <c r="S41" i="47"/>
  <c r="C11" i="47" s="1"/>
  <c r="S29" i="47"/>
  <c r="S18" i="47"/>
  <c r="F27" i="34"/>
  <c r="H9" i="44"/>
  <c r="I9" i="44" s="1"/>
  <c r="F27" i="45"/>
  <c r="E13" i="44"/>
  <c r="S38" i="47"/>
  <c r="D11" i="44"/>
  <c r="E11" i="44" s="1"/>
  <c r="E8" i="44"/>
  <c r="D13" i="44"/>
  <c r="S26" i="47"/>
  <c r="S7" i="47"/>
  <c r="S15" i="47"/>
  <c r="L29" i="40"/>
  <c r="M30" i="40"/>
  <c r="S40" i="47" l="1"/>
  <c r="H8" i="44"/>
  <c r="I8" i="44" s="1"/>
  <c r="S16" i="47"/>
  <c r="S22" i="47" s="1"/>
  <c r="T43" i="47"/>
  <c r="T21" i="47"/>
  <c r="T20" i="47"/>
  <c r="T33" i="47"/>
  <c r="T45" i="47"/>
  <c r="T44" i="47"/>
  <c r="T42" i="47"/>
  <c r="T38" i="47"/>
  <c r="X13" i="47"/>
  <c r="X17" i="47"/>
  <c r="X15" i="47"/>
  <c r="X11" i="47"/>
  <c r="X16" i="47"/>
  <c r="X14" i="47"/>
  <c r="X10" i="47"/>
  <c r="T26" i="47"/>
  <c r="T31" i="47"/>
  <c r="X9" i="47"/>
  <c r="T15" i="47"/>
  <c r="T19" i="47"/>
  <c r="T32" i="47"/>
  <c r="T30" i="47"/>
  <c r="T7" i="47"/>
  <c r="S9" i="47"/>
  <c r="T8" i="47"/>
  <c r="L31" i="40"/>
  <c r="H13" i="44" s="1"/>
  <c r="M29" i="40"/>
  <c r="T40" i="47" l="1"/>
  <c r="S39" i="47"/>
  <c r="T41" i="47"/>
  <c r="X18" i="47"/>
  <c r="T9" i="47"/>
  <c r="T10" i="47" s="1"/>
  <c r="S10" i="47"/>
  <c r="T28" i="47"/>
  <c r="M31" i="40"/>
  <c r="M32" i="40" s="1"/>
  <c r="L32" i="40"/>
  <c r="S46" i="47" l="1"/>
  <c r="T46" i="47" s="1"/>
  <c r="T39" i="47"/>
  <c r="T17" i="47"/>
  <c r="C44" i="49" l="1"/>
  <c r="C41" i="49"/>
  <c r="C42" i="49" s="1"/>
  <c r="R27" i="49"/>
  <c r="F45" i="49" l="1"/>
  <c r="F46" i="49" s="1"/>
  <c r="G45" i="49"/>
  <c r="G46" i="49" s="1"/>
  <c r="R42" i="49"/>
  <c r="V42" i="49" s="1"/>
  <c r="H66" i="49" l="1"/>
  <c r="R66" i="49" s="1"/>
  <c r="K66" i="49"/>
  <c r="K15" i="49" s="1"/>
  <c r="I66" i="49"/>
  <c r="I81" i="49" s="1"/>
  <c r="J66" i="49"/>
  <c r="J95" i="49" s="1"/>
  <c r="L66" i="49"/>
  <c r="L15" i="49" s="1"/>
  <c r="M66" i="49"/>
  <c r="M15" i="49" s="1"/>
  <c r="Z13" i="49" s="1"/>
  <c r="F12" i="48"/>
  <c r="H25" i="49"/>
  <c r="H95" i="49" l="1"/>
  <c r="I15" i="49"/>
  <c r="L95" i="49"/>
  <c r="S66" i="49"/>
  <c r="J15" i="49"/>
  <c r="K81" i="49"/>
  <c r="I95" i="49"/>
  <c r="J81" i="49"/>
  <c r="T66" i="49"/>
  <c r="U66" i="49"/>
  <c r="H81" i="49"/>
  <c r="K95" i="49"/>
  <c r="H44" i="49"/>
  <c r="H51" i="49"/>
  <c r="H15" i="49"/>
  <c r="P15" i="49" s="1"/>
  <c r="P16" i="49" s="1"/>
  <c r="L81" i="49"/>
  <c r="M81" i="49"/>
  <c r="M95" i="49"/>
  <c r="W66" i="49"/>
  <c r="V66" i="49"/>
  <c r="T15" i="49"/>
  <c r="T16" i="49" s="1"/>
  <c r="U15" i="49"/>
  <c r="U16" i="49" s="1"/>
  <c r="F8" i="48"/>
  <c r="F30" i="48"/>
  <c r="I25" i="49"/>
  <c r="I51" i="49" s="1"/>
  <c r="H75" i="49"/>
  <c r="H9" i="49"/>
  <c r="K24" i="52" s="1"/>
  <c r="K25" i="52" s="1"/>
  <c r="G12" i="48"/>
  <c r="P12" i="48" s="1"/>
  <c r="P13" i="48" s="1"/>
  <c r="L17" i="52" l="1"/>
  <c r="L12" i="52"/>
  <c r="L51" i="52"/>
  <c r="L47" i="52"/>
  <c r="L14" i="52"/>
  <c r="L16" i="52"/>
  <c r="L48" i="52"/>
  <c r="L11" i="52"/>
  <c r="L13" i="52"/>
  <c r="L9" i="52"/>
  <c r="L50" i="52"/>
  <c r="L46" i="52"/>
  <c r="L27" i="52"/>
  <c r="L49" i="52"/>
  <c r="L15" i="52"/>
  <c r="L10" i="52"/>
  <c r="R15" i="49"/>
  <c r="R16" i="49" s="1"/>
  <c r="S15" i="49"/>
  <c r="S16" i="49" s="1"/>
  <c r="N95" i="49"/>
  <c r="Q15" i="49"/>
  <c r="Q16" i="49" s="1"/>
  <c r="I65" i="49"/>
  <c r="I52" i="49"/>
  <c r="H65" i="49"/>
  <c r="H52" i="49"/>
  <c r="N81" i="49"/>
  <c r="R80" i="49"/>
  <c r="V80" i="49" s="1"/>
  <c r="H12" i="48"/>
  <c r="Q12" i="48" s="1"/>
  <c r="Q13" i="48" s="1"/>
  <c r="I44" i="49"/>
  <c r="P10" i="49"/>
  <c r="P11" i="49" s="1"/>
  <c r="P5" i="49"/>
  <c r="P6" i="49" s="1"/>
  <c r="I9" i="49"/>
  <c r="M24" i="52" s="1"/>
  <c r="M25" i="52" s="1"/>
  <c r="J25" i="49"/>
  <c r="J51" i="49" s="1"/>
  <c r="I75" i="49"/>
  <c r="G45" i="48"/>
  <c r="G46" i="48" s="1"/>
  <c r="G30" i="48" s="1"/>
  <c r="G8" i="48"/>
  <c r="D59" i="48" s="1"/>
  <c r="N16" i="52" l="1"/>
  <c r="N13" i="52"/>
  <c r="N17" i="52"/>
  <c r="N15" i="52"/>
  <c r="N9" i="52"/>
  <c r="N27" i="52"/>
  <c r="N14" i="52"/>
  <c r="N12" i="52"/>
  <c r="N10" i="52"/>
  <c r="N11" i="52"/>
  <c r="L18" i="52"/>
  <c r="V16" i="49"/>
  <c r="V15" i="49"/>
  <c r="R65" i="49"/>
  <c r="H14" i="49"/>
  <c r="H80" i="49"/>
  <c r="H94" i="49"/>
  <c r="J52" i="49"/>
  <c r="J65" i="49"/>
  <c r="S65" i="49"/>
  <c r="I14" i="49"/>
  <c r="I80" i="49"/>
  <c r="I94" i="49"/>
  <c r="H45" i="48"/>
  <c r="H46" i="48" s="1"/>
  <c r="K25" i="49"/>
  <c r="J44" i="49"/>
  <c r="Q5" i="49"/>
  <c r="Q6" i="49" s="1"/>
  <c r="P7" i="48"/>
  <c r="P8" i="48" s="1"/>
  <c r="P27" i="48"/>
  <c r="Q10" i="49"/>
  <c r="Q11" i="49" s="1"/>
  <c r="J75" i="49"/>
  <c r="H8" i="48"/>
  <c r="E59" i="48" s="1"/>
  <c r="J9" i="49"/>
  <c r="O24" i="52" s="1"/>
  <c r="O25" i="52" s="1"/>
  <c r="I12" i="48"/>
  <c r="N18" i="52" l="1"/>
  <c r="P27" i="52"/>
  <c r="P17" i="52"/>
  <c r="P14" i="52"/>
  <c r="P13" i="52"/>
  <c r="P15" i="52"/>
  <c r="P10" i="52"/>
  <c r="P16" i="52"/>
  <c r="P11" i="52"/>
  <c r="P12" i="52"/>
  <c r="P9" i="52"/>
  <c r="J14" i="49"/>
  <c r="J94" i="49"/>
  <c r="J80" i="49"/>
  <c r="T65" i="49"/>
  <c r="K44" i="49"/>
  <c r="K51" i="49"/>
  <c r="J12" i="48"/>
  <c r="J45" i="48" s="1"/>
  <c r="J46" i="48" s="1"/>
  <c r="J30" i="48" s="1"/>
  <c r="L25" i="49"/>
  <c r="L75" i="49" s="1"/>
  <c r="K75" i="49"/>
  <c r="K9" i="49"/>
  <c r="P28" i="48"/>
  <c r="G26" i="48" s="1"/>
  <c r="G25" i="48"/>
  <c r="H30" i="48"/>
  <c r="I8" i="48"/>
  <c r="R5" i="49"/>
  <c r="R6" i="49" s="1"/>
  <c r="I45" i="48"/>
  <c r="R12" i="48"/>
  <c r="R13" i="48" s="1"/>
  <c r="Q7" i="48"/>
  <c r="Q8" i="48" s="1"/>
  <c r="Q27" i="48"/>
  <c r="H25" i="48" s="1"/>
  <c r="R10" i="49"/>
  <c r="R11" i="49" s="1"/>
  <c r="P18" i="52" l="1"/>
  <c r="S5" i="49"/>
  <c r="S6" i="49" s="1"/>
  <c r="Q24" i="52"/>
  <c r="Q25" i="52" s="1"/>
  <c r="R27" i="48"/>
  <c r="R28" i="48" s="1"/>
  <c r="I26" i="48" s="1"/>
  <c r="F59" i="48"/>
  <c r="K52" i="49"/>
  <c r="K65" i="49"/>
  <c r="L44" i="49"/>
  <c r="L51" i="49"/>
  <c r="S12" i="48"/>
  <c r="S13" i="48" s="1"/>
  <c r="K12" i="48"/>
  <c r="T12" i="48" s="1"/>
  <c r="T13" i="48" s="1"/>
  <c r="M25" i="49"/>
  <c r="M75" i="49" s="1"/>
  <c r="N75" i="49" s="1"/>
  <c r="L9" i="49"/>
  <c r="J8" i="48"/>
  <c r="S10" i="49"/>
  <c r="S11" i="49" s="1"/>
  <c r="L12" i="48"/>
  <c r="I46" i="48"/>
  <c r="I30" i="48" s="1"/>
  <c r="D60" i="48"/>
  <c r="R7" i="48"/>
  <c r="R8" i="48" s="1"/>
  <c r="E61" i="48"/>
  <c r="Q28" i="48"/>
  <c r="H26" i="48" s="1"/>
  <c r="D61" i="48"/>
  <c r="M9" i="49"/>
  <c r="U24" i="52" s="1"/>
  <c r="U25" i="52" s="1"/>
  <c r="I25" i="48" l="1"/>
  <c r="T10" i="49"/>
  <c r="T11" i="49" s="1"/>
  <c r="S24" i="52"/>
  <c r="S25" i="52" s="1"/>
  <c r="V16" i="52"/>
  <c r="V17" i="52"/>
  <c r="V13" i="52"/>
  <c r="V11" i="52"/>
  <c r="V14" i="52"/>
  <c r="V15" i="52"/>
  <c r="V9" i="52"/>
  <c r="V10" i="52"/>
  <c r="V27" i="52"/>
  <c r="V12" i="52"/>
  <c r="R11" i="52"/>
  <c r="R12" i="52"/>
  <c r="R14" i="52"/>
  <c r="R17" i="52"/>
  <c r="R9" i="52"/>
  <c r="R10" i="52"/>
  <c r="R13" i="52"/>
  <c r="R27" i="52"/>
  <c r="R15" i="52"/>
  <c r="R16" i="52"/>
  <c r="K8" i="48"/>
  <c r="T27" i="48" s="1"/>
  <c r="K25" i="48" s="1"/>
  <c r="S27" i="48"/>
  <c r="J25" i="48" s="1"/>
  <c r="G59" i="48"/>
  <c r="G60" i="48" s="1"/>
  <c r="L52" i="49"/>
  <c r="L65" i="49"/>
  <c r="M44" i="49"/>
  <c r="M51" i="49"/>
  <c r="K80" i="49"/>
  <c r="K94" i="49"/>
  <c r="K14" i="49"/>
  <c r="U65" i="49"/>
  <c r="K45" i="48"/>
  <c r="K46" i="48" s="1"/>
  <c r="K30" i="48" s="1"/>
  <c r="U12" i="48"/>
  <c r="U13" i="48" s="1"/>
  <c r="V13" i="48" s="1"/>
  <c r="N12" i="48" s="1"/>
  <c r="T5" i="49"/>
  <c r="T6" i="49" s="1"/>
  <c r="L45" i="48"/>
  <c r="L46" i="48" s="1"/>
  <c r="L30" i="48" s="1"/>
  <c r="M12" i="48"/>
  <c r="S7" i="48"/>
  <c r="S8" i="48" s="1"/>
  <c r="F61" i="48"/>
  <c r="E60" i="48"/>
  <c r="L8" i="48"/>
  <c r="I59" i="48" s="1"/>
  <c r="U5" i="49"/>
  <c r="U6" i="49" s="1"/>
  <c r="U10" i="49"/>
  <c r="Z7" i="49"/>
  <c r="T7" i="48" l="1"/>
  <c r="T8" i="48" s="1"/>
  <c r="R18" i="52"/>
  <c r="V18" i="52"/>
  <c r="T27" i="52"/>
  <c r="T15" i="52"/>
  <c r="T16" i="52"/>
  <c r="T11" i="52"/>
  <c r="T17" i="52"/>
  <c r="T12" i="52"/>
  <c r="T14" i="52"/>
  <c r="T13" i="52"/>
  <c r="T9" i="52"/>
  <c r="T10" i="52"/>
  <c r="H59" i="48"/>
  <c r="K59" i="48" s="1"/>
  <c r="S28" i="48"/>
  <c r="J26" i="48" s="1"/>
  <c r="T28" i="48"/>
  <c r="K26" i="48" s="1"/>
  <c r="M52" i="49"/>
  <c r="M53" i="49" s="1"/>
  <c r="M65" i="49"/>
  <c r="L94" i="49"/>
  <c r="L14" i="49"/>
  <c r="L80" i="49"/>
  <c r="V65" i="49"/>
  <c r="V12" i="48"/>
  <c r="M46" i="48"/>
  <c r="M30" i="48" s="1"/>
  <c r="M45" i="48"/>
  <c r="V5" i="49"/>
  <c r="V6" i="49"/>
  <c r="V10" i="49"/>
  <c r="U11" i="49"/>
  <c r="V11" i="49" s="1"/>
  <c r="F60" i="48"/>
  <c r="M8" i="48"/>
  <c r="U27" i="48"/>
  <c r="L25" i="48" s="1"/>
  <c r="U7" i="48"/>
  <c r="U8" i="48" s="1"/>
  <c r="V8" i="48" s="1"/>
  <c r="N8" i="48" s="1"/>
  <c r="G61" i="48"/>
  <c r="R44" i="46"/>
  <c r="O10" i="47"/>
  <c r="H61" i="48" l="1"/>
  <c r="H60" i="48"/>
  <c r="T18" i="52"/>
  <c r="M14" i="49"/>
  <c r="M94" i="49"/>
  <c r="N94" i="49" s="1"/>
  <c r="W65" i="49"/>
  <c r="R79" i="49" s="1"/>
  <c r="V79" i="49" s="1"/>
  <c r="M80" i="49"/>
  <c r="N80" i="49" s="1"/>
  <c r="I60" i="48"/>
  <c r="K60" i="48" s="1"/>
  <c r="I61" i="48"/>
  <c r="K61" i="48" s="1"/>
  <c r="V7" i="48"/>
  <c r="U28" i="48"/>
  <c r="L26" i="48" s="1"/>
  <c r="M26" i="48" s="1"/>
  <c r="V27" i="48"/>
  <c r="B25" i="46"/>
  <c r="B27" i="46" s="1"/>
  <c r="V28" i="48" l="1"/>
  <c r="M25" i="48"/>
  <c r="B19" i="46"/>
  <c r="H11" i="44"/>
  <c r="I10" i="44"/>
  <c r="I11" i="44" s="1"/>
  <c r="S30" i="49"/>
  <c r="R30" i="49"/>
  <c r="D41" i="49"/>
  <c r="D42" i="49" s="1"/>
  <c r="T30" i="49" l="1"/>
  <c r="R45" i="49" s="1"/>
  <c r="V45" i="49" s="1"/>
  <c r="E41" i="49"/>
  <c r="E42" i="49" s="1"/>
  <c r="F43" i="49" l="1"/>
  <c r="H28" i="49" l="1"/>
  <c r="G41" i="49"/>
  <c r="G42" i="49" s="1"/>
  <c r="G43" i="49" s="1"/>
  <c r="I63" i="49" l="1"/>
  <c r="I92" i="49" s="1"/>
  <c r="H63" i="49"/>
  <c r="H92" i="49" s="1"/>
  <c r="K63" i="49"/>
  <c r="J63" i="49"/>
  <c r="J92" i="49" s="1"/>
  <c r="L63" i="49"/>
  <c r="M63" i="49"/>
  <c r="M92" i="49" s="1"/>
  <c r="H41" i="49"/>
  <c r="H42" i="49" s="1"/>
  <c r="I28" i="49"/>
  <c r="V63" i="49" l="1"/>
  <c r="R63" i="49"/>
  <c r="T63" i="49"/>
  <c r="H78" i="49"/>
  <c r="S63" i="49"/>
  <c r="L92" i="49"/>
  <c r="H12" i="49"/>
  <c r="W63" i="49"/>
  <c r="U63" i="49"/>
  <c r="K92" i="49"/>
  <c r="I41" i="49"/>
  <c r="I42" i="49" s="1"/>
  <c r="I12" i="49"/>
  <c r="J28" i="49"/>
  <c r="I78" i="49"/>
  <c r="R77" i="49" l="1"/>
  <c r="V77" i="49" s="1"/>
  <c r="N92" i="49"/>
  <c r="J12" i="49"/>
  <c r="K28" i="49"/>
  <c r="J41" i="49"/>
  <c r="J42" i="49" s="1"/>
  <c r="J78" i="49"/>
  <c r="K41" i="49" l="1"/>
  <c r="K42" i="49" s="1"/>
  <c r="K12" i="49"/>
  <c r="L28" i="49"/>
  <c r="K78" i="49"/>
  <c r="M28" i="49" l="1"/>
  <c r="L41" i="49"/>
  <c r="L42" i="49" s="1"/>
  <c r="L12" i="49"/>
  <c r="L78" i="49"/>
  <c r="M12" i="49" l="1"/>
  <c r="M41" i="49"/>
  <c r="M42" i="49" s="1"/>
  <c r="M78" i="49"/>
  <c r="N78" i="49" s="1"/>
  <c r="T16" i="47" l="1"/>
  <c r="T22" i="47" s="1"/>
  <c r="T18" i="47" l="1"/>
  <c r="S27" i="47" l="1"/>
  <c r="S34" i="47" s="1"/>
  <c r="T29" i="47"/>
  <c r="O11" i="47" l="1"/>
  <c r="C9" i="47"/>
  <c r="T27" i="47"/>
  <c r="T34" i="47"/>
  <c r="O9" i="47" l="1"/>
  <c r="C17" i="47"/>
  <c r="O17" i="47" l="1"/>
  <c r="I13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uživatel</author>
  </authors>
  <commentList>
    <comment ref="C249" authorId="0" shapeId="0" xr:uid="{00000000-0006-0000-0A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Poznámka: </t>
        </r>
        <r>
          <rPr>
            <sz val="9"/>
            <color indexed="81"/>
            <rFont val="Tahoma"/>
            <family val="2"/>
            <charset val="238"/>
          </rPr>
          <t xml:space="preserve">Modul CBA MS2014 nezohledňuje ve výsledcích FA financování provozní ztráty. Hodnota provozní zráty v roce 2018 vynulována
</t>
        </r>
      </text>
    </comment>
    <comment ref="C282" authorId="0" shapeId="0" xr:uid="{00000000-0006-0000-0A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Poznámka: </t>
        </r>
        <r>
          <rPr>
            <sz val="9"/>
            <color indexed="81"/>
            <rFont val="Tahoma"/>
            <family val="2"/>
            <charset val="238"/>
          </rPr>
          <t xml:space="preserve">Modul CBA MS2014+ nezohledňuje ve výsledcích FA financování provozní ztráty. Hodnota provozní ztráty v roce 2018 vynulována
</t>
        </r>
      </text>
    </comment>
  </commentList>
</comments>
</file>

<file path=xl/sharedStrings.xml><?xml version="1.0" encoding="utf-8"?>
<sst xmlns="http://schemas.openxmlformats.org/spreadsheetml/2006/main" count="2723" uniqueCount="704">
  <si>
    <t>Teplo</t>
  </si>
  <si>
    <t>Kč</t>
  </si>
  <si>
    <t>měs.</t>
  </si>
  <si>
    <t>Reinvestice</t>
  </si>
  <si>
    <t>Opravy a udržování</t>
  </si>
  <si>
    <t xml:space="preserve">Kč </t>
  </si>
  <si>
    <t>Nájemné</t>
  </si>
  <si>
    <t>Pohonné hmoty</t>
  </si>
  <si>
    <t>Vodné a stočné</t>
  </si>
  <si>
    <t>Zemní plyn</t>
  </si>
  <si>
    <t>Elektrická energie</t>
  </si>
  <si>
    <t>Kč/osoba</t>
  </si>
  <si>
    <t>osob</t>
  </si>
  <si>
    <t>Počet zaměstnanců - přepočtený stav</t>
  </si>
  <si>
    <t>Jednotka</t>
  </si>
  <si>
    <t>10. rok</t>
  </si>
  <si>
    <t>9. rok</t>
  </si>
  <si>
    <t>8. rok</t>
  </si>
  <si>
    <t>7. rok</t>
  </si>
  <si>
    <t>5. rok</t>
  </si>
  <si>
    <t>4. rok</t>
  </si>
  <si>
    <t>3. rok</t>
  </si>
  <si>
    <t>2. rok</t>
  </si>
  <si>
    <t>1. rok</t>
  </si>
  <si>
    <t>Nezpůsobilé výdaje</t>
  </si>
  <si>
    <t>ROZDÍLOVÁ VARIANTA</t>
  </si>
  <si>
    <t>Období realizace</t>
  </si>
  <si>
    <t>Způsobilé výdaje</t>
  </si>
  <si>
    <t>Celkové výdaje projektu</t>
  </si>
  <si>
    <t>Čerpání úvěru</t>
  </si>
  <si>
    <t>1.Q.</t>
  </si>
  <si>
    <t>2.Q.</t>
  </si>
  <si>
    <t>3.Q.</t>
  </si>
  <si>
    <t>4.Q.</t>
  </si>
  <si>
    <t>-</t>
  </si>
  <si>
    <t>Kód</t>
  </si>
  <si>
    <t>Množství</t>
  </si>
  <si>
    <t>Kč/jednotka</t>
  </si>
  <si>
    <t>soubor</t>
  </si>
  <si>
    <t>CELKOVÉ VÝDAJE PROJEKTU</t>
  </si>
  <si>
    <t>provoz</t>
  </si>
  <si>
    <t>Celkem</t>
  </si>
  <si>
    <t>Maximální výše dotace:</t>
  </si>
  <si>
    <t>Diskontované čisté jiné příjmy připadající na způsobilé výdaje:</t>
  </si>
  <si>
    <t>Způsobilé výdaje očištěné o diskontované čisté jiné příjmy:</t>
  </si>
  <si>
    <t>tis. Kč</t>
  </si>
  <si>
    <t>%</t>
  </si>
  <si>
    <t>1.</t>
  </si>
  <si>
    <t>DPH (21 %)</t>
  </si>
  <si>
    <t>1</t>
  </si>
  <si>
    <t>Rozpis DPH</t>
  </si>
  <si>
    <t>DPH celkem</t>
  </si>
  <si>
    <t>Povinná publicita</t>
  </si>
  <si>
    <t>Výběrové řízení (veřejná zakázka)</t>
  </si>
  <si>
    <t xml:space="preserve">Dotace </t>
  </si>
  <si>
    <t>CELKOVÉ ZPŮSOBILÉ VÝDAJE</t>
  </si>
  <si>
    <t>CELKOVÉ NEZPŮSOBILÉ VÝDAJE</t>
  </si>
  <si>
    <t xml:space="preserve">Stroje a zařízení </t>
  </si>
  <si>
    <t>Publicita</t>
  </si>
  <si>
    <t>ROZDÍLOVÁ VARIANTA INVESTIČNÍCH NÁKLADŮ</t>
  </si>
  <si>
    <t>Průměrné mzdové výdaje BEZ odvodů ZP a SP</t>
  </si>
  <si>
    <t>Pojistné za zaměstnance (odvody ZP a SP)</t>
  </si>
  <si>
    <t>Druh nákladu (v Kč)</t>
  </si>
  <si>
    <t xml:space="preserve">Financování provozní ztráty </t>
  </si>
  <si>
    <t>Druh výnosu v Kč</t>
  </si>
  <si>
    <t>CELKOVÉ INVESTIČNÍ NÁKLADY NULOVÉ VARIANTY</t>
  </si>
  <si>
    <t>CELKOVÉ INVESTIČNÍ NÁKLADY INVESTIČNÍ VARIANTY</t>
  </si>
  <si>
    <t>CELKOVÉ INVESTIČNÍ NÁKLADY</t>
  </si>
  <si>
    <t>NULOVÁ VARIANTA INVESTIČNÍCH NÁKLADŮ</t>
  </si>
  <si>
    <t>INVESTIČNÍ VARIANTA INVESTIČNÍCH NÁKLADŮ</t>
  </si>
  <si>
    <t>Způsobilost nákladu z pohledu dotace</t>
  </si>
  <si>
    <t>ZV</t>
  </si>
  <si>
    <t>NV</t>
  </si>
  <si>
    <t>Předprojektová příprava a dokumentace projektu</t>
  </si>
  <si>
    <t>Celkem s DPH</t>
  </si>
  <si>
    <t>Průměrné mzdové výdaje bez odvodů ZP a SP</t>
  </si>
  <si>
    <t>1.2</t>
  </si>
  <si>
    <t>2</t>
  </si>
  <si>
    <t>2.1</t>
  </si>
  <si>
    <t>1+2</t>
  </si>
  <si>
    <t>3</t>
  </si>
  <si>
    <t>1.1</t>
  </si>
  <si>
    <t>Kontrola s rozpočtem projektu</t>
  </si>
  <si>
    <t>Kontrola s rozpočtem projektu a součty v řádcích</t>
  </si>
  <si>
    <t>CBA</t>
  </si>
  <si>
    <t>Kontrola</t>
  </si>
  <si>
    <t>Investiční CF</t>
  </si>
  <si>
    <t>Provozní CF</t>
  </si>
  <si>
    <t>NCF</t>
  </si>
  <si>
    <t>Kontrola:</t>
  </si>
  <si>
    <t>6. rok</t>
  </si>
  <si>
    <t xml:space="preserve">Průměrné NCF za referenční období </t>
  </si>
  <si>
    <t>Spotřeba energie - celkem</t>
  </si>
  <si>
    <r>
      <t xml:space="preserve">Neinvestiční náklady </t>
    </r>
    <r>
      <rPr>
        <sz val="11"/>
        <rFont val="Calibri"/>
        <family val="2"/>
        <charset val="238"/>
        <scheme val="minor"/>
      </rPr>
      <t>(výběrové řízení, předprojektová příprava a administrace projektu)</t>
    </r>
  </si>
  <si>
    <r>
      <t>Neinvestiční náklady</t>
    </r>
    <r>
      <rPr>
        <sz val="11"/>
        <rFont val="Calibri"/>
        <family val="2"/>
        <charset val="238"/>
        <scheme val="minor"/>
      </rPr>
      <t xml:space="preserve"> (výběrové řízení, předprojektová příprava a administrace projektu)</t>
    </r>
  </si>
  <si>
    <t>Ostatní provozní výnosy</t>
  </si>
  <si>
    <t>Tržby provozní - prodej vlastních výrobků a služeb</t>
  </si>
  <si>
    <t>Tržby provozní - prodej zboží</t>
  </si>
  <si>
    <t>Provozní tržby a ostatní provozní výnosy - celkem</t>
  </si>
  <si>
    <t>Vlastní zdroje žadatele - celkem</t>
  </si>
  <si>
    <t>Cizí zdroje žadatele - celkem</t>
  </si>
  <si>
    <t>Jiné privátní zdroje</t>
  </si>
  <si>
    <t xml:space="preserve">Celkové zdroje žadatele na úhradu celkových nákladů projektu </t>
  </si>
  <si>
    <t xml:space="preserve">Spotřeba materiálu </t>
  </si>
  <si>
    <t>Dlouhodobý hmotný majetek</t>
  </si>
  <si>
    <t>ks</t>
  </si>
  <si>
    <t>1.1.1</t>
  </si>
  <si>
    <t>1.1.2</t>
  </si>
  <si>
    <t>1.1.3</t>
  </si>
  <si>
    <t>1.1.4</t>
  </si>
  <si>
    <t>1.1.5</t>
  </si>
  <si>
    <t>1.1 + 1.2</t>
  </si>
  <si>
    <t>2.2</t>
  </si>
  <si>
    <t>2.3</t>
  </si>
  <si>
    <t>2.4</t>
  </si>
  <si>
    <t>Vlastní zdroje - nezpůsobilé výdaje</t>
  </si>
  <si>
    <t xml:space="preserve">INVESTIČNÍ VARIANTA </t>
  </si>
  <si>
    <t>OK</t>
  </si>
  <si>
    <t>Předprojektová příprava a dokumentace</t>
  </si>
  <si>
    <t>Částka včetně DPH</t>
  </si>
  <si>
    <t>Částka bez DPH</t>
  </si>
  <si>
    <t>INVESTIČNÍ VARIANTA</t>
  </si>
  <si>
    <t xml:space="preserve">Pozemky a stavby </t>
  </si>
  <si>
    <t>Pozemky a stavby</t>
  </si>
  <si>
    <t>NULOVÁ VARIANTA</t>
  </si>
  <si>
    <r>
      <t xml:space="preserve">Ostatní náklady </t>
    </r>
    <r>
      <rPr>
        <sz val="11"/>
        <rFont val="Calibri"/>
        <family val="2"/>
        <charset val="238"/>
        <scheme val="minor"/>
      </rPr>
      <t>(externí služby dodavatelů, poštovné, doprava, účetní a ekonomické poradenství, daň z nemovitostí, ostatní daně mimo DPPO/DPFO)</t>
    </r>
  </si>
  <si>
    <t>kč</t>
  </si>
  <si>
    <t>Pomocné výpočty pro CBA</t>
  </si>
  <si>
    <t>Mzdy za všechny zaměstnance</t>
  </si>
  <si>
    <t>Pojistné za všechny zaměstnance</t>
  </si>
  <si>
    <t>jednotka</t>
  </si>
  <si>
    <t>Osobní náklady - celkem (modul CBA)</t>
  </si>
  <si>
    <t>Podíl investičních nákladů nulové varianty k variantě investiční</t>
  </si>
  <si>
    <t>Poměr průměrných ročních výnosů nulové varianty k průměrným ročním výnosům investiční varianty</t>
  </si>
  <si>
    <t>Průměrná meziroční změna</t>
  </si>
  <si>
    <t>n</t>
  </si>
  <si>
    <t>tis.Kč</t>
  </si>
  <si>
    <t>Ukazatel</t>
  </si>
  <si>
    <t>Průměrný vliv</t>
  </si>
  <si>
    <t>index</t>
  </si>
  <si>
    <t>Výkony</t>
  </si>
  <si>
    <t>Export</t>
  </si>
  <si>
    <t>počet</t>
  </si>
  <si>
    <t>Provozní hospodářský výsledek</t>
  </si>
  <si>
    <t>Přidaná hodnota</t>
  </si>
  <si>
    <t xml:space="preserve">Spotřeba materiálu a energie a služby (výkonová spotřeba) </t>
  </si>
  <si>
    <t>Produktivita práce</t>
  </si>
  <si>
    <t>tis. Kč/pracovník</t>
  </si>
  <si>
    <t>Ukazatel/rok</t>
  </si>
  <si>
    <t>tis.Kč/pracovník</t>
  </si>
  <si>
    <t>Průměrný podíl</t>
  </si>
  <si>
    <t>Hodnota</t>
  </si>
  <si>
    <t xml:space="preserve">Dlouhodobý nehmotný majetek </t>
  </si>
  <si>
    <t>1.1.6</t>
  </si>
  <si>
    <t>Plátce DPH</t>
  </si>
  <si>
    <t>Vlastní zdroje - způsobilé výdaje</t>
  </si>
  <si>
    <t xml:space="preserve">CELKOVÉ NEZPŮSOBILÉ VÝDAJE INVESTIČNÍ VARIANTY </t>
  </si>
  <si>
    <t xml:space="preserve">Předprojektová příprava a dokumentace </t>
  </si>
  <si>
    <t>Hodnoty do kalkulace</t>
  </si>
  <si>
    <t>Žádné zboží se k projektu nevztahuje, pouze služby</t>
  </si>
  <si>
    <t>CELKEM</t>
  </si>
  <si>
    <t>Splátky úvěru a půjček celkem</t>
  </si>
  <si>
    <t>Kontrola součtů v CBA</t>
  </si>
  <si>
    <t xml:space="preserve"> </t>
  </si>
  <si>
    <t>Ostatní měsíční provozní výnosy spojené s provozem technologií v nulové variantě - nerelevantní</t>
  </si>
  <si>
    <t>Investiční náklady nulové varianty</t>
  </si>
  <si>
    <t>Investiční náklady investiční varianty</t>
  </si>
  <si>
    <t>Investiční náklady rozdílové varianty</t>
  </si>
  <si>
    <t>Poměr průměrných ročních nákladů nulové varianty k průměrným ročním nákladům investiční varianty</t>
  </si>
  <si>
    <t>Poměr průměrných ročních nákladů investiční varianty k průměrným ročním nákladům nulové varianty</t>
  </si>
  <si>
    <r>
      <rPr>
        <b/>
        <sz val="11"/>
        <rFont val="Calibri"/>
        <family val="2"/>
        <charset val="238"/>
        <scheme val="minor"/>
      </rPr>
      <t>Východiska stanovení tržeb:</t>
    </r>
    <r>
      <rPr>
        <sz val="11"/>
        <rFont val="Calibri"/>
        <family val="2"/>
        <charset val="238"/>
        <scheme val="minor"/>
      </rPr>
      <t xml:space="preserve"> norma na hodinu, určující, kolik mohou dělníci udělat m2 cesty, průměrné ceny na m2, pracovní doba 8 hodin, průměrně 20 pracovních dnů, počítána pouze sezóna 9 měsíců. U zařízení, které nebudou používány ke stavebním pracím, počítal úsporu, pokud bychom museli práce požadovat od dodavatelů</t>
    </r>
  </si>
  <si>
    <t>Celkové provozní náklady</t>
  </si>
  <si>
    <t>Provozní náklady (modul CBA)</t>
  </si>
  <si>
    <t xml:space="preserve">Celkové provozní náklady </t>
  </si>
  <si>
    <t xml:space="preserve">Zemní plyn </t>
  </si>
  <si>
    <t>Celkové provozní výnosy (bez DPH)</t>
  </si>
  <si>
    <t>Celkové provozní výnosy</t>
  </si>
  <si>
    <t>n+1</t>
  </si>
  <si>
    <t>n+2</t>
  </si>
  <si>
    <t>n+3</t>
  </si>
  <si>
    <t>n+4</t>
  </si>
  <si>
    <t>n+5</t>
  </si>
  <si>
    <t>v tis. Kč</t>
  </si>
  <si>
    <t>Vliv tržeb z projektu (investiční varianta)</t>
  </si>
  <si>
    <t>Rok</t>
  </si>
  <si>
    <t xml:space="preserve">Jistina úvěru na konci splátky </t>
  </si>
  <si>
    <t>Splátky jistiny úvěru (úmor)</t>
  </si>
  <si>
    <r>
      <t>Ú</t>
    </r>
    <r>
      <rPr>
        <b/>
        <sz val="11"/>
        <rFont val="Calibri"/>
        <family val="2"/>
      </rPr>
      <t>rok z jistiny úvěru</t>
    </r>
  </si>
  <si>
    <t xml:space="preserve">Kontrola (v řádcích) </t>
  </si>
  <si>
    <t>Celkové finanční náklady pro návratnost investice (-)</t>
  </si>
  <si>
    <t>Čisté Cash Flow (NCF) financování úvěrů a půjček</t>
  </si>
  <si>
    <t xml:space="preserve">Celkové zdroje žadatele na úhradu finančních nákladů spojených s úvěry a půjčkami (+) </t>
  </si>
  <si>
    <r>
      <t xml:space="preserve">Splátky jistiny úvěrů a půjček k pokrytí financování projektu (Ostatní finanční náklady - </t>
    </r>
    <r>
      <rPr>
        <b/>
        <sz val="11"/>
        <color theme="1"/>
        <rFont val="Calibri"/>
        <family val="2"/>
        <charset val="238"/>
        <scheme val="minor"/>
      </rPr>
      <t>nevstupuje do CBA</t>
    </r>
    <r>
      <rPr>
        <sz val="11"/>
        <color theme="1"/>
        <rFont val="Calibri"/>
        <family val="2"/>
        <charset val="238"/>
        <scheme val="minor"/>
      </rPr>
      <t>) (-)</t>
    </r>
  </si>
  <si>
    <r>
      <t xml:space="preserve">Splátky úroků z úvěrů a půjček k pokrytí financování projektu (Nákladové úroky - </t>
    </r>
    <r>
      <rPr>
        <b/>
        <sz val="11"/>
        <color theme="1"/>
        <rFont val="Calibri"/>
        <family val="2"/>
        <charset val="238"/>
        <scheme val="minor"/>
      </rPr>
      <t>vstupuje do CBA</t>
    </r>
    <r>
      <rPr>
        <sz val="11"/>
        <color theme="1"/>
        <rFont val="Calibri"/>
        <family val="2"/>
        <charset val="238"/>
        <scheme val="minor"/>
      </rPr>
      <t>) (-)</t>
    </r>
  </si>
  <si>
    <t>Úvěry a půjčky</t>
  </si>
  <si>
    <t>Poplatek za vyřízení úvrěru</t>
  </si>
  <si>
    <t>REALIZAČNÍ FÁZE PROJEKTU</t>
  </si>
  <si>
    <t>Výdaje (-)</t>
  </si>
  <si>
    <t>Celkové investiční výdaje = Zdroje krytí pro CBA</t>
  </si>
  <si>
    <t>Zdroje předfinancování projektu</t>
  </si>
  <si>
    <t xml:space="preserve">Vlastní zdroje </t>
  </si>
  <si>
    <t>Zdroje financování - vstupy do CBA</t>
  </si>
  <si>
    <t>PROVOZNÍ FÁZE PROJEKTU</t>
  </si>
  <si>
    <t xml:space="preserve"> Nákladové úroky (vstupují do CBA)</t>
  </si>
  <si>
    <t>Příjmy (+)</t>
  </si>
  <si>
    <t>CELKOVÉ INVESTIČNÍ NÁKLADY INVESTIČNÍ VARIANTY PO ODEČTU NEINVESTIČNÍCH NÁKLADŮ (CBA)</t>
  </si>
  <si>
    <t xml:space="preserve">Zdroje financování projektu </t>
  </si>
  <si>
    <t>CELKOVÉ INVESTIČNÍ NÁKLADY ROZDÍLOVÉ VARIANTY (CBA)</t>
  </si>
  <si>
    <t>DPH</t>
  </si>
  <si>
    <t xml:space="preserve">Kontrolní součet </t>
  </si>
  <si>
    <t xml:space="preserve">POZNÁMKY - žadatel </t>
  </si>
  <si>
    <t>POZNÁMKY - žadatel</t>
  </si>
  <si>
    <r>
      <t xml:space="preserve">Celková výše investičních nákladů  - </t>
    </r>
    <r>
      <rPr>
        <b/>
        <sz val="12"/>
        <color rgb="FF0033CC"/>
        <rFont val="Calibri"/>
        <family val="2"/>
        <charset val="238"/>
        <scheme val="minor"/>
      </rPr>
      <t>ÚHRADA NÁKLADU (VÝDAJ)</t>
    </r>
  </si>
  <si>
    <t>Kontrolní součet (Agregované toky)</t>
  </si>
  <si>
    <r>
      <rPr>
        <sz val="11"/>
        <color theme="1"/>
        <rFont val="Symbol"/>
        <family val="1"/>
        <charset val="2"/>
      </rPr>
      <t>S</t>
    </r>
    <r>
      <rPr>
        <sz val="8.8000000000000007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Příjmy  (+)</t>
    </r>
  </si>
  <si>
    <r>
      <t xml:space="preserve"> </t>
    </r>
    <r>
      <rPr>
        <b/>
        <sz val="11"/>
        <color theme="1"/>
        <rFont val="Symbol"/>
        <family val="1"/>
        <charset val="2"/>
      </rPr>
      <t xml:space="preserve">S </t>
    </r>
    <r>
      <rPr>
        <b/>
        <sz val="11"/>
        <color theme="1"/>
        <rFont val="Calibri"/>
        <family val="2"/>
        <charset val="238"/>
        <scheme val="minor"/>
      </rPr>
      <t>NCF</t>
    </r>
  </si>
  <si>
    <r>
      <rPr>
        <sz val="11"/>
        <color theme="1"/>
        <rFont val="Symbol"/>
        <family val="1"/>
        <charset val="2"/>
      </rPr>
      <t xml:space="preserve">S </t>
    </r>
    <r>
      <rPr>
        <sz val="11"/>
        <color theme="1"/>
        <rFont val="Calibri"/>
        <family val="2"/>
        <charset val="238"/>
        <scheme val="minor"/>
      </rPr>
      <t>Výdaje (-)</t>
    </r>
  </si>
  <si>
    <t>SIMULACE ÚVĚRU - INDIVIDUÁLNÍ SPLÁTKOVÝ PLÁN - Moje Banka, a.s.</t>
  </si>
  <si>
    <t>Celkové zdroje financování</t>
  </si>
  <si>
    <t>Zdroje žadatele (bez dotace)</t>
  </si>
  <si>
    <t>Měsíční tržba nulové varianty, 2 % meziroční nárůst tržeb (očištěno od inflace)</t>
  </si>
  <si>
    <r>
      <t xml:space="preserve">Měsíční spotřeba el. energie - </t>
    </r>
    <r>
      <rPr>
        <b/>
        <sz val="11"/>
        <rFont val="Calibri"/>
        <family val="2"/>
        <charset val="238"/>
        <scheme val="minor"/>
      </rPr>
      <t>nerelevnatní</t>
    </r>
    <r>
      <rPr>
        <sz val="11"/>
        <rFont val="Calibri"/>
        <family val="2"/>
        <charset val="238"/>
        <scheme val="minor"/>
      </rPr>
      <t>, 2 % meziroční nárůst</t>
    </r>
  </si>
  <si>
    <r>
      <t xml:space="preserve">Měsíční spotřeba tepla - </t>
    </r>
    <r>
      <rPr>
        <b/>
        <sz val="11"/>
        <rFont val="Calibri"/>
        <family val="2"/>
        <charset val="238"/>
        <scheme val="minor"/>
      </rPr>
      <t>nerelevnatní</t>
    </r>
    <r>
      <rPr>
        <sz val="11"/>
        <rFont val="Calibri"/>
        <family val="2"/>
        <charset val="238"/>
        <scheme val="minor"/>
      </rPr>
      <t>, 2 % meziroční nárůst</t>
    </r>
  </si>
  <si>
    <r>
      <t xml:space="preserve">Měsíční spotřeba vodného a stočného - </t>
    </r>
    <r>
      <rPr>
        <b/>
        <sz val="11"/>
        <rFont val="Calibri"/>
        <family val="2"/>
        <charset val="238"/>
        <scheme val="minor"/>
      </rPr>
      <t>nerelevnatní</t>
    </r>
    <r>
      <rPr>
        <sz val="11"/>
        <rFont val="Calibri"/>
        <family val="2"/>
        <charset val="238"/>
        <scheme val="minor"/>
      </rPr>
      <t>, 2 % meziroční nárůst</t>
    </r>
  </si>
  <si>
    <r>
      <t xml:space="preserve">Měsíční nájemné v rámci provozu technologií  dle nájemní smlouvy - </t>
    </r>
    <r>
      <rPr>
        <b/>
        <sz val="11"/>
        <rFont val="Calibri"/>
        <family val="2"/>
        <charset val="238"/>
        <scheme val="minor"/>
      </rPr>
      <t xml:space="preserve">nerelevantní </t>
    </r>
  </si>
  <si>
    <t>Předprojektová příprava v nulové variantě = žadatel o podproru si vše zpracuje sám</t>
  </si>
  <si>
    <r>
      <t xml:space="preserve">Vyčíslit pouze relevantní položky (např. silniční daň, případně daň z nemovistostí, kde jsou technologie uchovávány) - </t>
    </r>
    <r>
      <rPr>
        <b/>
        <sz val="11"/>
        <rFont val="Calibri"/>
        <family val="2"/>
        <charset val="238"/>
        <scheme val="minor"/>
      </rPr>
      <t>žádné položky relevantní</t>
    </r>
  </si>
  <si>
    <r>
      <t xml:space="preserve">Reinvestice ve smyslu technického zhodnocení - </t>
    </r>
    <r>
      <rPr>
        <b/>
        <sz val="11"/>
        <rFont val="Calibri"/>
        <family val="2"/>
        <charset val="238"/>
        <scheme val="minor"/>
      </rPr>
      <t>nerelevantní</t>
    </r>
  </si>
  <si>
    <t>Financování nulové varianty bude realizováno z vlastních zdrojů</t>
  </si>
  <si>
    <t>Poměr PV NulVar/InvVar</t>
  </si>
  <si>
    <t>Poměr PN NulVar/InVar</t>
  </si>
  <si>
    <t>Příspěvek unie (dotace)</t>
  </si>
  <si>
    <t>Zdroje žadatele  (vlastní + cizí)</t>
  </si>
  <si>
    <t>% celkových výdajů projektu</t>
  </si>
  <si>
    <t>CELKOVÉ ZDROJE KRYTÍ PROJEKTU</t>
  </si>
  <si>
    <t>Cizí zdroje - dotace</t>
  </si>
  <si>
    <t xml:space="preserve">Vlastní zdroje - celkem </t>
  </si>
  <si>
    <t>Cizí zdroje (celkem)</t>
  </si>
  <si>
    <t>Jistina úvěru</t>
  </si>
  <si>
    <t>Úroková sazba</t>
  </si>
  <si>
    <t xml:space="preserve">Splátka jistiny </t>
  </si>
  <si>
    <t xml:space="preserve">Období čerpání </t>
  </si>
  <si>
    <t xml:space="preserve">Poplatek </t>
  </si>
  <si>
    <t xml:space="preserve">Kontrola v řádcích </t>
  </si>
  <si>
    <t>CELKOVÉ ZDROJE FINANCOVÁNÍ</t>
  </si>
  <si>
    <t>Příspěvek unie</t>
  </si>
  <si>
    <t>Soukromé zdroje</t>
  </si>
  <si>
    <t>Státní rozpočet</t>
  </si>
  <si>
    <t>Státní fondy</t>
  </si>
  <si>
    <t>Rozpočet kraje</t>
  </si>
  <si>
    <t>Rozpočet obce</t>
  </si>
  <si>
    <t>Ostatní zdroje</t>
  </si>
  <si>
    <t>2. Zdroje žadatele na předfinancování projektu (BEZ DOTACE) (s DPH)</t>
  </si>
  <si>
    <t>3. Zdroje žadatele na předfinancování projektu (S DOTACÍ) (s DPH)</t>
  </si>
  <si>
    <t>Realizace/provoz</t>
  </si>
  <si>
    <t>Kontrola (sloupcová)</t>
  </si>
  <si>
    <t>rok</t>
  </si>
  <si>
    <t>Diskontovaná doba návratnosti (DDN)</t>
  </si>
  <si>
    <t>Kriteriální hodnota</t>
  </si>
  <si>
    <t>Výsledek</t>
  </si>
  <si>
    <t>Funkce "Míra výnosnosti"</t>
  </si>
  <si>
    <t xml:space="preserve">Předpoklad rovnoměrného CF v průběhu roku </t>
  </si>
  <si>
    <t xml:space="preserve">DDN &lt; RO </t>
  </si>
  <si>
    <t>PI &gt; 0</t>
  </si>
  <si>
    <t xml:space="preserve">Grafické vyjádření výsledků finanční analýzy (Rozdílová varianta) </t>
  </si>
  <si>
    <t>Prostá doba návratnosti (DN) (NEDISKONTOVANÉ CF)</t>
  </si>
  <si>
    <t xml:space="preserve">DN &lt; RO </t>
  </si>
  <si>
    <t>DDN (počet let)</t>
  </si>
  <si>
    <t>DN (počet let)</t>
  </si>
  <si>
    <t>Finanční čístá současná hodnota (FNPV) (DISKONTOVANÉ CF) (Kč)</t>
  </si>
  <si>
    <t>Finanční index rentability (FPI) (index)</t>
  </si>
  <si>
    <t>Finanční vnitřní výnosové procento (FIRR) (NEDISKONTOVANÉ CF) (%)</t>
  </si>
  <si>
    <t xml:space="preserve">období </t>
  </si>
  <si>
    <t>1. - 10.</t>
  </si>
  <si>
    <t xml:space="preserve">Předpoklad rovnoměrného DCF v průběhu roku </t>
  </si>
  <si>
    <t>Provozní příjmy (CF+)</t>
  </si>
  <si>
    <t>Provozní výdaje (CF-)</t>
  </si>
  <si>
    <t>Investiční výdaje (CF-)</t>
  </si>
  <si>
    <t>Zůstatková hodnota (CF+)</t>
  </si>
  <si>
    <t>Nákladové úroky (CF-)</t>
  </si>
  <si>
    <t>Ostatní finanční náklady (CF-)</t>
  </si>
  <si>
    <t xml:space="preserve">Grafické vyjádření NEDISKONTOVANÝCH a DISKONTOVANÝCH hotovostních toků rozdílové varianty </t>
  </si>
  <si>
    <t>Celkové investiční náklady (CF-)</t>
  </si>
  <si>
    <t>Celkové provozní náklady (CF-)</t>
  </si>
  <si>
    <t>Celkové provozní výnosy (CF+)</t>
  </si>
  <si>
    <t>Finanční čístá současná hodnota (FNPV) (MS Excel - finanční funkce) (Kč)</t>
  </si>
  <si>
    <t>Rozdíl:</t>
  </si>
  <si>
    <t>FNPV pro CBA</t>
  </si>
  <si>
    <t>FPP pro CBA</t>
  </si>
  <si>
    <t>FPI pro CBA</t>
  </si>
  <si>
    <t>FIRR pro CBA</t>
  </si>
  <si>
    <t>FNPV/IN</t>
  </si>
  <si>
    <r>
      <rPr>
        <b/>
        <sz val="11"/>
        <color theme="1"/>
        <rFont val="Symbol"/>
        <family val="1"/>
        <charset val="2"/>
      </rPr>
      <t>S</t>
    </r>
    <r>
      <rPr>
        <b/>
        <sz val="11"/>
        <color theme="1"/>
        <rFont val="Calibri"/>
        <family val="2"/>
        <charset val="238"/>
        <scheme val="minor"/>
      </rPr>
      <t>NCF</t>
    </r>
  </si>
  <si>
    <r>
      <rPr>
        <b/>
        <sz val="11"/>
        <color theme="1"/>
        <rFont val="Symbol"/>
        <family val="1"/>
        <charset val="2"/>
      </rPr>
      <t>S</t>
    </r>
    <r>
      <rPr>
        <b/>
        <sz val="8.8000000000000007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NCF (sloupcový součet)</t>
    </r>
  </si>
  <si>
    <r>
      <t>Návratnost investice (</t>
    </r>
    <r>
      <rPr>
        <b/>
        <sz val="11"/>
        <color theme="1"/>
        <rFont val="Symbol"/>
        <family val="1"/>
        <charset val="2"/>
      </rPr>
      <t>S</t>
    </r>
    <r>
      <rPr>
        <b/>
        <sz val="11"/>
        <color theme="1"/>
        <rFont val="Calibri"/>
        <family val="2"/>
        <charset val="238"/>
        <scheme val="minor"/>
      </rPr>
      <t>NCF)</t>
    </r>
  </si>
  <si>
    <r>
      <t>Diskontovaná návratnost investice (D</t>
    </r>
    <r>
      <rPr>
        <b/>
        <sz val="11"/>
        <color theme="1"/>
        <rFont val="Symbol"/>
        <family val="1"/>
        <charset val="2"/>
      </rPr>
      <t>S</t>
    </r>
    <r>
      <rPr>
        <b/>
        <sz val="11"/>
        <color theme="1"/>
        <rFont val="Calibri"/>
        <family val="2"/>
        <charset val="238"/>
        <scheme val="minor"/>
      </rPr>
      <t>NCF)</t>
    </r>
  </si>
  <si>
    <r>
      <rPr>
        <b/>
        <sz val="11"/>
        <color theme="1"/>
        <rFont val="Symbol"/>
        <family val="1"/>
        <charset val="2"/>
      </rPr>
      <t>SS</t>
    </r>
    <r>
      <rPr>
        <b/>
        <sz val="11"/>
        <color theme="1"/>
        <rFont val="Calibri"/>
        <family val="2"/>
        <charset val="238"/>
        <scheme val="minor"/>
      </rPr>
      <t xml:space="preserve"> CF / </t>
    </r>
    <r>
      <rPr>
        <b/>
        <sz val="11"/>
        <color theme="1"/>
        <rFont val="Symbol"/>
        <family val="1"/>
        <charset val="2"/>
      </rPr>
      <t>SS</t>
    </r>
    <r>
      <rPr>
        <sz val="11"/>
        <color theme="1"/>
        <rFont val="Calibri"/>
        <family val="2"/>
        <charset val="238"/>
        <scheme val="minor"/>
      </rPr>
      <t xml:space="preserve"> NCF</t>
    </r>
  </si>
  <si>
    <t>Návratnost investice pro finační analýzu je PŘIJATELNÁ</t>
  </si>
  <si>
    <t>CELKOVÝ VÝSLEDEK FINANČNÍ ANALÝZY</t>
  </si>
  <si>
    <t>Pojištění majetku (modul CBA)</t>
  </si>
  <si>
    <t>Doplňkové orientační ukazatele NCF (pro účely CBA)</t>
  </si>
  <si>
    <t>Grafické vyjádření provozního Cash Flow</t>
  </si>
  <si>
    <t>Celkové ostatní náklady (bez pojištění) - celkem (modul CBA)</t>
  </si>
  <si>
    <t>1.2.1</t>
  </si>
  <si>
    <t>DPH ze způsobilých výdajů</t>
  </si>
  <si>
    <t xml:space="preserve">DPH z nezpůsobilých výdajů </t>
  </si>
  <si>
    <t>Příspěvek Unie (dotace)</t>
  </si>
  <si>
    <t>HW a sítě (software)</t>
  </si>
  <si>
    <t>Neinvestiční náklady přesunuty do provozních nákladů (pro výpočty v rámci modulu CBA)</t>
  </si>
  <si>
    <t>Doba realizace/provozu výstupu projektu</t>
  </si>
  <si>
    <t>CELKOVÉ INVESTIČNÍ NÁKLADY ROZDÍLOVÉ VARIANTY PO ODEČTU NEINVESTIČNÍCH NÁKLADŮ (CBA)</t>
  </si>
  <si>
    <t>v Kč</t>
  </si>
  <si>
    <t>Celkové zdroje žadatele o podporu</t>
  </si>
  <si>
    <r>
      <t xml:space="preserve">Průměrné </t>
    </r>
    <r>
      <rPr>
        <b/>
        <sz val="11"/>
        <color theme="1"/>
        <rFont val="Calibri"/>
        <family val="2"/>
        <charset val="238"/>
        <scheme val="minor"/>
      </rPr>
      <t>měsíční</t>
    </r>
    <r>
      <rPr>
        <sz val="11"/>
        <color theme="1"/>
        <rFont val="Calibri"/>
        <family val="2"/>
        <charset val="238"/>
        <scheme val="minor"/>
      </rPr>
      <t xml:space="preserve"> hrubé mzdové náklady na 1 zaměstnance 24.300 Kč, 2 % meziroční nárůst </t>
    </r>
  </si>
  <si>
    <r>
      <t xml:space="preserve">Celkové finanční náklady pro návratnost investice </t>
    </r>
    <r>
      <rPr>
        <sz val="11"/>
        <color theme="1"/>
        <rFont val="Calibri"/>
        <family val="2"/>
        <charset val="238"/>
        <scheme val="minor"/>
      </rPr>
      <t xml:space="preserve">(nevyplňuje se) </t>
    </r>
    <r>
      <rPr>
        <b/>
        <sz val="11"/>
        <color theme="1"/>
        <rFont val="Calibri"/>
        <family val="2"/>
        <charset val="238"/>
        <scheme val="minor"/>
      </rPr>
      <t>(modul CBA)</t>
    </r>
  </si>
  <si>
    <r>
      <t xml:space="preserve">Celkové finanční náklady ostatní </t>
    </r>
    <r>
      <rPr>
        <sz val="11"/>
        <color theme="1"/>
        <rFont val="Calibri"/>
        <family val="2"/>
        <charset val="238"/>
        <scheme val="minor"/>
      </rPr>
      <t xml:space="preserve">(součet: nákladové úroky z úvěru a ostatní finanční náklady) </t>
    </r>
    <r>
      <rPr>
        <b/>
        <sz val="11"/>
        <color theme="1"/>
        <rFont val="Calibri"/>
        <family val="2"/>
        <charset val="238"/>
        <scheme val="minor"/>
      </rPr>
      <t>(modul CBA)</t>
    </r>
  </si>
  <si>
    <t>NULOVÁ VARIANTA OBSAHUJE V PROVOZU PROJEKTU NULOVÉ TOKY!!!</t>
  </si>
  <si>
    <r>
      <t xml:space="preserve">Počet zaměstnanců pracujících s technologiemi v nulové variantě - </t>
    </r>
    <r>
      <rPr>
        <b/>
        <sz val="11"/>
        <rFont val="Calibri"/>
        <family val="2"/>
        <charset val="238"/>
        <scheme val="minor"/>
      </rPr>
      <t>nerelevantní</t>
    </r>
  </si>
  <si>
    <r>
      <t xml:space="preserve">Měsiční spotřeba zemního plynu v Kč - </t>
    </r>
    <r>
      <rPr>
        <b/>
        <sz val="11"/>
        <rFont val="Calibri"/>
        <family val="2"/>
        <charset val="238"/>
        <scheme val="minor"/>
      </rPr>
      <t>nerelevantní</t>
    </r>
    <r>
      <rPr>
        <sz val="11"/>
        <rFont val="Calibri"/>
        <family val="2"/>
        <charset val="238"/>
        <scheme val="minor"/>
      </rPr>
      <t>, 2 % meziroční nárůst</t>
    </r>
  </si>
  <si>
    <r>
      <t xml:space="preserve">Měsíční spotřeba PHM - </t>
    </r>
    <r>
      <rPr>
        <b/>
        <sz val="11"/>
        <color theme="1"/>
        <rFont val="Calibri"/>
        <family val="2"/>
        <charset val="238"/>
        <scheme val="minor"/>
      </rPr>
      <t>nerelevantní</t>
    </r>
    <r>
      <rPr>
        <sz val="11"/>
        <color theme="1"/>
        <rFont val="Calibri"/>
        <family val="2"/>
        <charset val="238"/>
        <scheme val="minor"/>
      </rPr>
      <t xml:space="preserve"> , </t>
    </r>
    <r>
      <rPr>
        <sz val="11"/>
        <rFont val="Calibri"/>
        <family val="2"/>
        <charset val="238"/>
        <scheme val="minor"/>
      </rPr>
      <t>2 % meziroční nárůst</t>
    </r>
  </si>
  <si>
    <r>
      <t xml:space="preserve">Měsíční servis technologií a drobné opravy - </t>
    </r>
    <r>
      <rPr>
        <b/>
        <sz val="11"/>
        <rFont val="Calibri"/>
        <family val="2"/>
        <charset val="238"/>
        <scheme val="minor"/>
      </rPr>
      <t>nerelevantní</t>
    </r>
    <r>
      <rPr>
        <sz val="11"/>
        <rFont val="Calibri"/>
        <family val="2"/>
        <charset val="238"/>
        <scheme val="minor"/>
      </rPr>
      <t xml:space="preserve"> , skokově progresivní růst v čase</t>
    </r>
  </si>
  <si>
    <r>
      <t xml:space="preserve">Pojištění dle nabídky - </t>
    </r>
    <r>
      <rPr>
        <b/>
        <sz val="11"/>
        <color theme="1"/>
        <rFont val="Calibri"/>
        <family val="2"/>
        <charset val="238"/>
        <scheme val="minor"/>
      </rPr>
      <t>nerelevatní</t>
    </r>
  </si>
  <si>
    <r>
      <rPr>
        <b/>
        <sz val="11"/>
        <color theme="1"/>
        <rFont val="Calibri"/>
        <family val="2"/>
        <charset val="238"/>
        <scheme val="minor"/>
      </rPr>
      <t>Kontrolní součet pro CBA</t>
    </r>
    <r>
      <rPr>
        <sz val="11"/>
        <color theme="1"/>
        <rFont val="Calibri"/>
        <family val="2"/>
        <charset val="238"/>
        <scheme val="minor"/>
      </rPr>
      <t xml:space="preserve"> (osobní náklady, provozní náklady, pojištění majetku, ostatní náklady, celkové finanční náklady ostatní)</t>
    </r>
  </si>
  <si>
    <t>m</t>
  </si>
  <si>
    <t>m-1</t>
  </si>
  <si>
    <t>m-2</t>
  </si>
  <si>
    <t>m-3</t>
  </si>
  <si>
    <t>m+1</t>
  </si>
  <si>
    <t>Poznámky: m = poslední uzavřené období před předložením žádosti o podporu; n = rok ukončení realizační fáze projektu</t>
  </si>
  <si>
    <t>2021-2020</t>
  </si>
  <si>
    <t>2022-2021</t>
  </si>
  <si>
    <t>Tržby za prodej vlastních výrobků a služeb</t>
  </si>
  <si>
    <t>TRŽBY CELKEM</t>
  </si>
  <si>
    <t>Odběratelé - pomocná tabulka</t>
  </si>
  <si>
    <t>a</t>
  </si>
  <si>
    <t>b</t>
  </si>
  <si>
    <t>c</t>
  </si>
  <si>
    <t>d</t>
  </si>
  <si>
    <t>e</t>
  </si>
  <si>
    <t xml:space="preserve">Celkové způsobilé výdaje - investiční </t>
  </si>
  <si>
    <t>Celkové provozní náklady (bez DPH) pro CBA (bez celkových finančních nákladů ostatních)</t>
  </si>
  <si>
    <r>
      <t xml:space="preserve">Celkové provozní náklady pro CBA </t>
    </r>
    <r>
      <rPr>
        <sz val="11"/>
        <color theme="1"/>
        <rFont val="Calibri"/>
        <family val="2"/>
        <charset val="238"/>
        <scheme val="minor"/>
      </rPr>
      <t>(bez celkových finančních nákladů ostatních)</t>
    </r>
  </si>
  <si>
    <t>Celkové provozní náklady (bez DPH) (včetně celkových finančních nákladů ostatních)</t>
  </si>
  <si>
    <t>Celkové finanční náklady ostatní (CF-)</t>
  </si>
  <si>
    <t xml:space="preserve">Období </t>
  </si>
  <si>
    <t xml:space="preserve">Rok </t>
  </si>
  <si>
    <t>PRAVIDLO: Zdroje na financování splátek úvěru a půjček = Celkové splátky úvěru a půjček</t>
  </si>
  <si>
    <t>Jiné národní veřejné fin. prostředky</t>
  </si>
  <si>
    <t>Základní specifikace úvěru (banka)</t>
  </si>
  <si>
    <t>Základní specifikace půjčky (společník)</t>
  </si>
  <si>
    <t>Jistina půjčky</t>
  </si>
  <si>
    <t>Splátka půjčky</t>
  </si>
  <si>
    <t>Cizí zdroje - bankovní úvěr</t>
  </si>
  <si>
    <t>Cizí zdroje - půjčka od společníka (věřitele)</t>
  </si>
  <si>
    <t>Cizí zdroje - celkem</t>
  </si>
  <si>
    <t>5. Zdroje žadatele do CBA - NULOVÁ VARIANTA (bez DPH)</t>
  </si>
  <si>
    <t>6. Zdroje žadatele do CBA - INVESTIČNÍ VARIANTA (bez DPH)</t>
  </si>
  <si>
    <r>
      <t xml:space="preserve">4. Zdroje žadatele na předfinancování projektu (S DOTACÍ) </t>
    </r>
    <r>
      <rPr>
        <b/>
        <sz val="11"/>
        <color rgb="FF0000FF"/>
        <rFont val="Calibri"/>
        <family val="2"/>
        <charset val="238"/>
        <scheme val="minor"/>
      </rPr>
      <t>PRAVIDLO: SUMA ZDROJŮ = CELKOVÉ VÝDAJE PROJEKTU</t>
    </r>
  </si>
  <si>
    <t>PRAVIDLO: Zdroje financování projektu = Celkové výdaje projektu</t>
  </si>
  <si>
    <t>Okamžik splacení půjčky</t>
  </si>
  <si>
    <t>Tržby - kontrola</t>
  </si>
  <si>
    <t>Kalkulace průměrných měsíčních nákladů na jednotku produkce a prodejní cena vlastních výrobků a služeb</t>
  </si>
  <si>
    <t>Spotřeba materiálu</t>
  </si>
  <si>
    <t xml:space="preserve">Mzdové náklady                          </t>
  </si>
  <si>
    <t xml:space="preserve">Průměrná prodejní cena na jednotku produkce:   </t>
  </si>
  <si>
    <t>Průměrná měsíční tržba z prodeje vlastních výrobků a služeb</t>
  </si>
  <si>
    <t>Průměrná roční tržba z prodeje vlastních výrobků a služeb</t>
  </si>
  <si>
    <t>Průměrná roční tržba z prodeje vlastních výrobků a služeb - CBA</t>
  </si>
  <si>
    <t>Export (do zemí EU)</t>
  </si>
  <si>
    <t xml:space="preserve">index </t>
  </si>
  <si>
    <t>Podíl exportu na celkových tržbách společnosti</t>
  </si>
  <si>
    <t xml:space="preserve">Podíl přidané hodnoty na tržbách za vlastní výrobky a služby společnosti </t>
  </si>
  <si>
    <t xml:space="preserve">Průměrný podíl přidané hodnoty na tržbách za vlastní výrobky a služby společnosti (2012-2015, 2012-2016) </t>
  </si>
  <si>
    <t>m = poslední uzavřené období před předložením žádosti o podporu; n = rok ukončení realizační fáze projektu</t>
  </si>
  <si>
    <t xml:space="preserve">Poznámky: </t>
  </si>
  <si>
    <t>Průměr</t>
  </si>
  <si>
    <t xml:space="preserve">o více než 10 % = 10 bodů </t>
  </si>
  <si>
    <t>POMOCNÉ VÝPOČTOVÉ TABULKY</t>
  </si>
  <si>
    <t>Podíl tržeb projektu (vlivu investiční varianty) na tržbách společnosti (bez projektu)</t>
  </si>
  <si>
    <t>Spotřeba materiálu - Krabička zařízení, výroba desky plošných spojů (tedy HW zařízení), měřicí transformátory a cívky</t>
  </si>
  <si>
    <t>Další výr. náklady     - potisk krabičky, polepy krabičky, balicí krabice a obalový materiál</t>
  </si>
  <si>
    <t>Mzda: 2 lidé po 23.500.-/hr.mzda vyrobí 10ks/8hod</t>
  </si>
  <si>
    <t>Režije = 20% mzdových nákladů</t>
  </si>
  <si>
    <t xml:space="preserve">v % </t>
  </si>
  <si>
    <t>změna v %</t>
  </si>
  <si>
    <t>Posouzení hodnotícího kritéria</t>
  </si>
  <si>
    <t>průměr tržeb</t>
  </si>
  <si>
    <t>Marže 10 % - čistá</t>
  </si>
  <si>
    <t xml:space="preserve">Průměrná marže (10 %)                                 </t>
  </si>
  <si>
    <t xml:space="preserve">Minimální roční objem výroby: </t>
  </si>
  <si>
    <t>Minimální průměrný měsíční objem produkce (v ks)</t>
  </si>
  <si>
    <t xml:space="preserve">Základní rok </t>
  </si>
  <si>
    <t>Tabulka 1</t>
  </si>
  <si>
    <t>Tabulka 2</t>
  </si>
  <si>
    <t>Tabulka 3</t>
  </si>
  <si>
    <t>Doplňkové (pomocné tabulky)</t>
  </si>
  <si>
    <t xml:space="preserve">Ukazatel/rok/období </t>
  </si>
  <si>
    <t>Ukazatel/rok/období</t>
  </si>
  <si>
    <t>Pomocná tabulka A k Tabulce 2</t>
  </si>
  <si>
    <t>Pomocná tabulka A k Tabulce 1</t>
  </si>
  <si>
    <t>Pomocná tabulka B k Tabulce 1</t>
  </si>
  <si>
    <t>Pomocné ukazatele - podíly tržeb plynoucích z projektu na tržbách společnosti</t>
  </si>
  <si>
    <t>Rok / Jednotka</t>
  </si>
  <si>
    <t>Rok realizace</t>
  </si>
  <si>
    <t>Výkony (předpoklad stejného průběhu jako u provozních tržeb z prodeje vlastních výrobků a služeb)</t>
  </si>
  <si>
    <t>Období</t>
  </si>
  <si>
    <t>Podíl tržeb za vlastní výrobky a služby plynoucí z projektu vůči tržbám společnosti za vlastní výrobky a služby bez projektu</t>
  </si>
  <si>
    <t xml:space="preserve">Podíl tržeb za vlastní výrobky a služby plynoucí z projektu vůči tržbám společnosti za vlastní výrobky a služby bez projektu </t>
  </si>
  <si>
    <t>Průměrný přepočtený počet pracovníků</t>
  </si>
  <si>
    <t>Poznámka: tis. Kč = hodnota dodávek za dodavatele; m = poslední uzavřené období před předložením žádosti o podporu; n = rok ukončení realizační fáze projektu</t>
  </si>
  <si>
    <t>Poznámka: % = procento celkových tržeb společnosti za prodej vlastních výrobků a služeb; tis. Kč = hodnota tržeb za prodej vlastních výrobků a služeb za odběratele; m = poslední uzavřené období před předložením žádosti o podporu; n = rok ukončení realizační fáze projektu</t>
  </si>
  <si>
    <t>Pomocné ukazatele - podíly na tržbách za společnost</t>
  </si>
  <si>
    <t>Pomocná tabulka B k Tabulce 2</t>
  </si>
  <si>
    <t>Pomocná tabulka C k Tabulce 2</t>
  </si>
  <si>
    <t>Tržby za vlastní výrobky a služby (v tis. Kč)</t>
  </si>
  <si>
    <r>
      <t xml:space="preserve">Zdroje financování projektu (v Kč, </t>
    </r>
    <r>
      <rPr>
        <b/>
        <sz val="12"/>
        <color rgb="FFFF0000"/>
        <rFont val="Calibri"/>
        <family val="2"/>
        <charset val="238"/>
        <scheme val="minor"/>
      </rPr>
      <t>s</t>
    </r>
    <r>
      <rPr>
        <b/>
        <sz val="12"/>
        <rFont val="Calibri"/>
        <family val="2"/>
        <charset val="238"/>
        <scheme val="minor"/>
      </rPr>
      <t xml:space="preserve"> DPH)</t>
    </r>
  </si>
  <si>
    <t>Kontrola s rozpočtem</t>
  </si>
  <si>
    <t>Průměrné výrobní náklady na jednotku produkce</t>
  </si>
  <si>
    <t>Kalkulace odvozena z cen toků v roce 2016</t>
  </si>
  <si>
    <t>Ostatní výrobní nákady - variabilní (potisk, polepy, balicí a obalový materiál)</t>
  </si>
  <si>
    <t xml:space="preserve">Průměrné výrobní náklady na jednotku produkce - celkem </t>
  </si>
  <si>
    <t xml:space="preserve">Režijní náklady </t>
  </si>
  <si>
    <t>Svařovací invertor pro svařování oceli, vč. příslušenství</t>
  </si>
  <si>
    <t xml:space="preserve">Technologický soubor pro komplexní zpracování plechu </t>
  </si>
  <si>
    <t>Akumulátorový ruční páskovací stroj, vč. příslušenství</t>
  </si>
  <si>
    <t>Automatická bruska nástrojů, vč. příslušenství</t>
  </si>
  <si>
    <t xml:space="preserve">CELKOVÉ ZPŮSOBILÉ INVESTIČNÍ NÁKLADY INVESTIČNÍ VARIANTY </t>
  </si>
  <si>
    <t xml:space="preserve">CELKOVÉ NEZPŮSOBILÉ NÁKLADY INVESTIČNÍ VARIANTY </t>
  </si>
  <si>
    <t xml:space="preserve">CELKOVÉ ZPŮSOBILÉ INVESTIČNÍ NÁKLADY ROZDÍLOVÉ VARIANTY </t>
  </si>
  <si>
    <t>realizace/provoz</t>
  </si>
  <si>
    <t>9/1</t>
  </si>
  <si>
    <t xml:space="preserve">Cizí zdroje - půjčka od společníka (věřitele) </t>
  </si>
  <si>
    <t xml:space="preserve">Úvěry a půjčky k pokrytí financování projektu </t>
  </si>
  <si>
    <t>Měsíční hrubá mzda pracovníků v souvislosti s realizací projektu</t>
  </si>
  <si>
    <t>Průměrná měsíční mzda</t>
  </si>
  <si>
    <t>Meziroční nárůst spotřeby materiálu 2 %</t>
  </si>
  <si>
    <r>
      <rPr>
        <b/>
        <sz val="11"/>
        <rFont val="Calibri"/>
        <family val="2"/>
        <charset val="238"/>
        <scheme val="minor"/>
      </rPr>
      <t>Měsiční spotřeba zemního plynu</t>
    </r>
    <r>
      <rPr>
        <sz val="11"/>
        <rFont val="Calibri"/>
        <family val="2"/>
        <charset val="238"/>
        <scheme val="minor"/>
      </rPr>
      <t xml:space="preserve"> - </t>
    </r>
    <r>
      <rPr>
        <b/>
        <sz val="11"/>
        <rFont val="Calibri"/>
        <family val="2"/>
        <charset val="238"/>
        <scheme val="minor"/>
      </rPr>
      <t>nerelevnatní</t>
    </r>
    <r>
      <rPr>
        <sz val="11"/>
        <rFont val="Calibri"/>
        <family val="2"/>
        <charset val="238"/>
        <scheme val="minor"/>
      </rPr>
      <t>, 2 %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meziroční nárůst</t>
    </r>
  </si>
  <si>
    <r>
      <rPr>
        <b/>
        <sz val="11"/>
        <color theme="1"/>
        <rFont val="Calibri"/>
        <family val="2"/>
        <charset val="238"/>
        <scheme val="minor"/>
      </rPr>
      <t>Měsiční spotřeba PHM</t>
    </r>
    <r>
      <rPr>
        <sz val="11"/>
        <color theme="1"/>
        <rFont val="Calibri"/>
        <family val="2"/>
        <charset val="238"/>
        <scheme val="minor"/>
      </rPr>
      <t xml:space="preserve"> vyčíslena daňovým poradcem ve výši 5 % celkové spotřeby PHM firmy za rok 2016, </t>
    </r>
    <r>
      <rPr>
        <sz val="11"/>
        <rFont val="Calibri"/>
        <family val="2"/>
        <charset val="238"/>
        <scheme val="minor"/>
      </rPr>
      <t>2 % meziroční nárůst</t>
    </r>
  </si>
  <si>
    <r>
      <rPr>
        <b/>
        <sz val="11"/>
        <rFont val="Calibri"/>
        <family val="2"/>
        <charset val="238"/>
        <scheme val="minor"/>
      </rPr>
      <t>Měsíční nájemné</t>
    </r>
    <r>
      <rPr>
        <sz val="11"/>
        <rFont val="Calibri"/>
        <family val="2"/>
        <charset val="238"/>
        <scheme val="minor"/>
      </rPr>
      <t xml:space="preserve"> v rámci provozu technologií  dle nájemní smlouvy - </t>
    </r>
    <r>
      <rPr>
        <b/>
        <sz val="11"/>
        <rFont val="Calibri"/>
        <family val="2"/>
        <charset val="238"/>
        <scheme val="minor"/>
      </rPr>
      <t>nerelevantní</t>
    </r>
    <r>
      <rPr>
        <sz val="11"/>
        <rFont val="Calibri"/>
        <family val="2"/>
        <charset val="238"/>
        <scheme val="minor"/>
      </rPr>
      <t xml:space="preserve"> </t>
    </r>
  </si>
  <si>
    <t>Nákladové úroky (modul CBA)</t>
  </si>
  <si>
    <r>
      <t xml:space="preserve">Celkové provozní náklady (bez DPH) </t>
    </r>
    <r>
      <rPr>
        <sz val="11"/>
        <color theme="1"/>
        <rFont val="Calibri"/>
        <family val="2"/>
        <charset val="238"/>
        <scheme val="minor"/>
      </rPr>
      <t>(včetně celkových finančních nákladů ostatních)</t>
    </r>
  </si>
  <si>
    <t xml:space="preserve">PODKLAD PRO KALKULACI PROVOZNÍCH VÝNOSŮ (TRŽEB) V DALŠÍCH LETECH OBDOBÍ UDRŽITELNOSTI </t>
  </si>
  <si>
    <r>
      <t>Zboží se k projektu nevztahuje, pouze vlastní výrobky a služby -</t>
    </r>
    <r>
      <rPr>
        <b/>
        <sz val="11"/>
        <color theme="1"/>
        <rFont val="Calibri"/>
        <family val="2"/>
        <charset val="238"/>
        <scheme val="minor"/>
      </rPr>
      <t xml:space="preserve"> nerelevantní</t>
    </r>
  </si>
  <si>
    <r>
      <t xml:space="preserve">Ostatní měsíční provozní výnosy spojené s provozem technologií v investiční variantě - </t>
    </r>
    <r>
      <rPr>
        <b/>
        <sz val="11"/>
        <rFont val="Calibri"/>
        <family val="2"/>
        <charset val="238"/>
        <scheme val="minor"/>
      </rPr>
      <t>nerelevantní</t>
    </r>
  </si>
  <si>
    <t>2018-2027</t>
  </si>
  <si>
    <t>v % k m (2016)</t>
  </si>
  <si>
    <t>Změna v % k m (2016)</t>
  </si>
  <si>
    <t>Podíl vlivu investiční varianty na vývoji společnosti v roce 2016</t>
  </si>
  <si>
    <t>Průměrný podíl exportu na celkových tržbách společnosti (2013-2016, 2013-2017)</t>
  </si>
  <si>
    <t xml:space="preserve">Průměrný podíl přidané hodnoty na tržbách za vlastní výrobky a služby společnosti (2013-2016, 2013-2017) </t>
  </si>
  <si>
    <t xml:space="preserve">Podíl tržeb za vlastní výrobky a služby plynoucí z projektu vůči tržbám společnosti za vlastní výrobky a služby v základním roce (2016) </t>
  </si>
  <si>
    <t xml:space="preserve">Průměrný podíl tržeb za vlastní výrobky a služby plynoucí z projektu v letech 2018-2023 vůči tržbám společnosti za vlastní výrobky a služby v základním roce (2016) </t>
  </si>
  <si>
    <t xml:space="preserve">Průměrný podíl tržeb za vlastní výrobky a služby plynoucí z projektu v letech 2018-2023 vůči tržbám společnosti za vlastní výrobky a služby bez projektu </t>
  </si>
  <si>
    <t>2018/2017</t>
  </si>
  <si>
    <t>2019/2018</t>
  </si>
  <si>
    <t>2020/2019</t>
  </si>
  <si>
    <t>2021/2020</t>
  </si>
  <si>
    <t>2022/2021</t>
  </si>
  <si>
    <t>2023/2022</t>
  </si>
  <si>
    <t>2019-2023</t>
  </si>
  <si>
    <t>Absolutní změna tržeb za vlastní výrobky a služby 2023/2016</t>
  </si>
  <si>
    <t>Absolutní změna přidané hodnoty 2023/2016</t>
  </si>
  <si>
    <t>Absolutní změna výkonové spotřeby 2023/2016</t>
  </si>
  <si>
    <t>% základního roku 2016</t>
  </si>
  <si>
    <t>% podíl průměrné diference k hodnotě základního roku (2016)</t>
  </si>
  <si>
    <t>% diference k objemu roku 2016</t>
  </si>
  <si>
    <t>2023-2022</t>
  </si>
  <si>
    <t>(2019-2023)</t>
  </si>
  <si>
    <t>f</t>
  </si>
  <si>
    <r>
      <rPr>
        <b/>
        <sz val="12"/>
        <color theme="1"/>
        <rFont val="Symbol"/>
        <family val="1"/>
        <charset val="2"/>
      </rPr>
      <t>m</t>
    </r>
    <r>
      <rPr>
        <b/>
        <sz val="12"/>
        <color theme="1"/>
        <rFont val="Calibri"/>
        <family val="2"/>
        <charset val="238"/>
      </rPr>
      <t>=(m-2)+(m-1)+m</t>
    </r>
  </si>
  <si>
    <t>Poznámka: m = poslední uzavřené obodbí před předložením žádosti o podporu; n+1 rok od data finančního ukončení projektu</t>
  </si>
  <si>
    <t>Absolutní změna výkonu 2023/2016</t>
  </si>
  <si>
    <t>Absolutní změna produktivity práce 2023/2016</t>
  </si>
  <si>
    <r>
      <t xml:space="preserve">Poznámka: m = poslední uzavřené účetní období před předložením žádosti o podporu;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charset val="238"/>
      </rPr>
      <t xml:space="preserve"> = průměr tržeb za poslední tři uzavřená účetní období</t>
    </r>
  </si>
  <si>
    <t>Procentuální porovnání nárůstu/poklesu hodnoty ze sloupce e s hodnotou ze sloupce a</t>
  </si>
  <si>
    <r>
      <rPr>
        <b/>
        <sz val="11"/>
        <rFont val="Calibri"/>
        <family val="2"/>
        <charset val="238"/>
        <scheme val="minor"/>
      </rPr>
      <t>Měsíční spotřeba elektrické energie</t>
    </r>
    <r>
      <rPr>
        <sz val="11"/>
        <rFont val="Calibri"/>
        <family val="2"/>
        <charset val="238"/>
        <scheme val="minor"/>
      </rPr>
      <t xml:space="preserve"> ve výši 15 % objemu celkové spotřeby za rok 2016, 2 % meziroční nárůst</t>
    </r>
  </si>
  <si>
    <t>Průměrná měsníční mzda na 1 zaměsntance (noví + stávající): 24 020,83 Kč</t>
  </si>
  <si>
    <r>
      <t xml:space="preserve">Měsíční spotřeba tepla </t>
    </r>
    <r>
      <rPr>
        <sz val="11"/>
        <rFont val="Calibri"/>
        <family val="2"/>
        <charset val="238"/>
        <scheme val="minor"/>
      </rPr>
      <t>pro 10 ks technologií ve výši 10 % celkové roční spotřeby tepla za rok 2016, 3 % meziroční nárůst</t>
    </r>
  </si>
  <si>
    <r>
      <rPr>
        <b/>
        <sz val="11"/>
        <rFont val="Calibri"/>
        <family val="2"/>
        <charset val="238"/>
        <scheme val="minor"/>
      </rPr>
      <t>Měsíční spotřeba vodného a stočného</t>
    </r>
    <r>
      <rPr>
        <sz val="11"/>
        <rFont val="Calibri"/>
        <family val="2"/>
        <charset val="238"/>
        <scheme val="minor"/>
      </rPr>
      <t xml:space="preserve"> pro 12 zaměstnanců ve výši 20 % celkové spotřeby vody za rok 2016, 3 % meziroční nárůst</t>
    </r>
  </si>
  <si>
    <t>Příspěvek Unie (dotace) (35 % CZV)</t>
  </si>
  <si>
    <t>Dotace (35% CZV)</t>
  </si>
  <si>
    <t>* Rok 2017: odhad údajů daňovým poradcem pro Výkaz zisku a ztráty k 31. 12. 2017</t>
  </si>
  <si>
    <t xml:space="preserve">Cash-flow financování úvěrů a půjček </t>
  </si>
  <si>
    <t>DHM (ZV)</t>
  </si>
  <si>
    <t>DNHM (ZV)</t>
  </si>
  <si>
    <t>Předprojektová příprava a dokumentace projektu (NV)</t>
  </si>
  <si>
    <t>DPH = Nezpůsobilý výdaj</t>
  </si>
  <si>
    <t>Dotace MPO ČR</t>
  </si>
  <si>
    <t>Základní ekonomické ukazatele společnosti Šroub &amp; Matka, spol. s r.o. BEZ projektu (nulová varianta)</t>
  </si>
  <si>
    <t>Základní ekonomické ukazatele projektu společnosti Šroub &amp; Matka, spol. s r.o. (investiční varianta)</t>
  </si>
  <si>
    <t>Podíl investiční varianty na CELKOVÉM vývoji společnosti Šroub &amp; Matka, spol. s r.o. (BEZ PROJEKTU)</t>
  </si>
  <si>
    <t>Podíl investiční varianty na CELKOVÉM vývoji společnosti Šroub &amp; Matka, spol. s r.o. v ZÁKLADNÍM ROCE (2016)</t>
  </si>
  <si>
    <t>Základní ekonomické ukazatele společnosti Šroub &amp; Matka, spol. s r.o. VČETNĚ projektu (nul.+inv. varianta)</t>
  </si>
  <si>
    <t>Meziroční změna celkových tržeb za vlastní výrobky a služby společnosti Šroub &amp; Matka, spol. s r.o.</t>
  </si>
  <si>
    <t xml:space="preserve"> Změna celkových tržeb za vlastní výrobky a služby společnosti Šroub &amp; Matka, spol. s r.o. oproti základnímu roku (2016)</t>
  </si>
  <si>
    <t>Meziroční změna přidané hodnoty společnosti Šroub &amp; Matka, spol. s r.o.</t>
  </si>
  <si>
    <t xml:space="preserve"> Meziroční změna výkonové spotřeby společnosti Šroub &amp; Matka, spol. s r.o.</t>
  </si>
  <si>
    <t>Meziroční změna výkonu společnosti Šroub &amp; Matka, spol. s r.o.</t>
  </si>
  <si>
    <t>Meziroční změna produktivity práce společnosti Šroub &amp; Matka, spol. s r.o.</t>
  </si>
  <si>
    <t xml:space="preserve">Základní ekonomické ukazatele společnosti Šroub &amp; Matka, spol. s r.o. </t>
  </si>
  <si>
    <t>Zdroj: Šroub &amp; Matka, spol. s r.o. (2017)</t>
  </si>
  <si>
    <r>
      <rPr>
        <b/>
        <sz val="16"/>
        <color rgb="FFFF0000"/>
        <rFont val="Calibri"/>
        <family val="2"/>
        <charset val="238"/>
        <scheme val="minor"/>
      </rPr>
      <t>HODNOTÍCÍ KRITÉRIUM:</t>
    </r>
    <r>
      <rPr>
        <b/>
        <sz val="16"/>
        <rFont val="Calibri"/>
        <family val="2"/>
        <charset val="238"/>
        <scheme val="minor"/>
      </rPr>
      <t xml:space="preserve"> Úroveň stability odbytu produkce společnosti Šroub &amp; Matka, spol. s r.o. (do textové části Podnikatelského záměru)</t>
    </r>
  </si>
  <si>
    <t>ODBYT</t>
  </si>
  <si>
    <t>Přehled nejvýznamnějších dodavatelů společnosti Šroub &amp; Matka, spol. s r.o.</t>
  </si>
  <si>
    <t>Odběratel A</t>
  </si>
  <si>
    <t>Odběratel B</t>
  </si>
  <si>
    <t>Odběratel C</t>
  </si>
  <si>
    <t>Odběratel D</t>
  </si>
  <si>
    <t>Odběratel E</t>
  </si>
  <si>
    <t>Odběratel F</t>
  </si>
  <si>
    <t>Odběratel G</t>
  </si>
  <si>
    <t>Odběratel H</t>
  </si>
  <si>
    <t>Odběratel I</t>
  </si>
  <si>
    <t>Dodavatel A</t>
  </si>
  <si>
    <t>Dodavatel B</t>
  </si>
  <si>
    <t>Dodavatel C</t>
  </si>
  <si>
    <t>Dodavatel D</t>
  </si>
  <si>
    <t>Dodavatel E</t>
  </si>
  <si>
    <t>Dodavatel F</t>
  </si>
  <si>
    <t>Dodavatel G</t>
  </si>
  <si>
    <t xml:space="preserve">Výše provozních tržeb společnosti Šroub &amp; Matka, spol. s r.o. </t>
  </si>
  <si>
    <t>Celkové tržby společnosti Šroub &amp; Matka, spol. s r.o.  (včetně projektu)</t>
  </si>
  <si>
    <t>Tržby společnosti Šroub &amp; Matka, spol. s r.o. (bez projektu)</t>
  </si>
  <si>
    <t xml:space="preserve">Tržby projektu společnosti Šroub &amp; Matka, spol. s r.o. </t>
  </si>
  <si>
    <t>Změna tržeb společnosti Šroub &amp; Matka, spol. s r.o. plynoucí z realizace projektu vůči základnímu roku (2016)</t>
  </si>
  <si>
    <t>Změna tržeb společnosti Šroub &amp; Matka, spol. s r.o. (včetně projektu) vůči základnímu roku (2016)</t>
  </si>
  <si>
    <t xml:space="preserve">Podíl tržeb projektu na tržbách společnosti Šroub &amp; Matka, spol. s r.o. </t>
  </si>
  <si>
    <t>Zdroj: Šroub &amp; Matka, spol. s r.o. – finanční analýza projektu (2017)</t>
  </si>
  <si>
    <t xml:space="preserve">Výše tržeb plynoucích z projektu na tržbách společnosti Šroub &amp; Matka, spol. s r.o. </t>
  </si>
  <si>
    <t>Meziroční změna tržeb společnosti Šroub &amp; Matka, spol. s r.o. (včetně projektu)</t>
  </si>
  <si>
    <t xml:space="preserve">Meziroční změna tržeb společnosti Šroub &amp; Matka, spol. s r.o. (bez projektu) </t>
  </si>
  <si>
    <t xml:space="preserve">Meziroční změna tržeb společnosti Šroub &amp; Matka, spol. s r.o. (projekt) </t>
  </si>
  <si>
    <t>Meziroční změna tržeb společnosti Šroub &amp; Matka, spol. s r.o. plynoucí z realizace projektu vůči základnímu roku (2016)</t>
  </si>
  <si>
    <t>Meziroční změna vývoje celkových tržeb společnosti Šroub &amp; Matka, spol. s r.o.  (včetně projektu) vůči roku 2016</t>
  </si>
  <si>
    <t xml:space="preserve">Šroub &amp; Matka, spol. s r.o. </t>
  </si>
  <si>
    <t xml:space="preserve"> Šroub &amp; Matka, spol. s r.o.</t>
  </si>
  <si>
    <t>Podíl odběratele na tržbách (v %,  v tis. Kč)</t>
  </si>
  <si>
    <t>Podíl dodavatele na dodávkách (v tis. Kč)</t>
  </si>
  <si>
    <t>Oběratelé/Dodavatelé  (zajištění odbytu)</t>
  </si>
  <si>
    <t>Přehled nejvýznamnějších odběratelů společnosti Šroub &amp; Matka, spol. s r.o.</t>
  </si>
  <si>
    <t>Míra spolufinancování</t>
  </si>
  <si>
    <t>Kontrola výpočtu DPH</t>
  </si>
  <si>
    <t>Celkem DPH (ZV)</t>
  </si>
  <si>
    <t>Celkem DPH (NV)</t>
  </si>
  <si>
    <t>DPH Celkem (ZV+NV)</t>
  </si>
  <si>
    <t>Povinná publicita (NV)</t>
  </si>
  <si>
    <t>Výběrové řízení (veřejné zakázky) (NV)</t>
  </si>
  <si>
    <t>Výběrové řízení (veřejná zakázky)</t>
  </si>
  <si>
    <t>Druh výdaje (název)</t>
  </si>
  <si>
    <t>FNPV &gt; 0</t>
  </si>
  <si>
    <t xml:space="preserve">Reálná finanční diskontní sazba (FDR) </t>
  </si>
  <si>
    <r>
      <t>Reálná finanční diskontní sazba (FDR</t>
    </r>
    <r>
      <rPr>
        <b/>
        <sz val="14"/>
        <color theme="1"/>
        <rFont val="Calibri"/>
        <family val="2"/>
        <charset val="238"/>
        <scheme val="minor"/>
      </rPr>
      <t xml:space="preserve">) </t>
    </r>
  </si>
  <si>
    <r>
      <t>Kumulovaná návratnost investice (Suma CF</t>
    </r>
    <r>
      <rPr>
        <vertAlign val="subscript"/>
        <sz val="11"/>
        <color theme="1"/>
        <rFont val="Calibri"/>
        <family val="2"/>
        <charset val="238"/>
        <scheme val="minor"/>
      </rPr>
      <t>t</t>
    </r>
    <r>
      <rPr>
        <sz val="11"/>
        <color theme="1"/>
        <rFont val="Calibri"/>
        <family val="2"/>
        <charset val="238"/>
        <scheme val="minor"/>
      </rPr>
      <t>)</t>
    </r>
  </si>
  <si>
    <r>
      <t>Kumulovaná diskontovaná návratnost investice (Suma DCF</t>
    </r>
    <r>
      <rPr>
        <vertAlign val="subscript"/>
        <sz val="11"/>
        <color theme="1"/>
        <rFont val="Calibri"/>
        <family val="2"/>
        <charset val="238"/>
        <scheme val="minor"/>
      </rPr>
      <t>t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</si>
  <si>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Počet zaměstnanců obsluhujících výstupy projektu </t>
    </r>
    <r>
      <rPr>
        <b/>
        <sz val="11"/>
        <color theme="1"/>
        <rFont val="Calibri"/>
        <family val="2"/>
        <charset val="238"/>
        <scheme val="minor"/>
      </rPr>
      <t>12</t>
    </r>
    <r>
      <rPr>
        <sz val="11"/>
        <color theme="1"/>
        <rFont val="Calibri"/>
        <family val="2"/>
        <charset val="238"/>
        <scheme val="minor"/>
      </rPr>
      <t xml:space="preserve"> (3 nová pracovní místa, 9 stávajících zaměstnanců)</t>
    </r>
  </si>
  <si>
    <r>
      <rPr>
        <i/>
        <sz val="11"/>
        <rFont val="Calibri"/>
        <family val="2"/>
        <charset val="238"/>
        <scheme val="minor"/>
      </rPr>
      <t>Nový zaměstnanci</t>
    </r>
    <r>
      <rPr>
        <sz val="11"/>
        <rFont val="Calibri"/>
        <family val="2"/>
        <charset val="238"/>
        <scheme val="minor"/>
      </rPr>
      <t xml:space="preserve"> - svářeč - brusič (2,0 FTE) + obsluha CNC stroje (1,0 FTE), mzda ve zkušební době (3M) 20 000 Kč, mzda po zkušební době 25 000 Kč </t>
    </r>
  </si>
  <si>
    <r>
      <rPr>
        <i/>
        <sz val="11"/>
        <color theme="1"/>
        <rFont val="Calibri"/>
        <family val="2"/>
        <charset val="238"/>
        <scheme val="minor"/>
      </rPr>
      <t>Stávající zaměstnanci</t>
    </r>
    <r>
      <rPr>
        <sz val="11"/>
        <color theme="1"/>
        <rFont val="Calibri"/>
        <family val="2"/>
        <charset val="238"/>
        <scheme val="minor"/>
      </rPr>
      <t xml:space="preserve"> - svářeč  - brusič (6,0 FTE) + obsluha CNC stroje (3,0 FTE), výše hrubé mzdy 23 000 Kč - 25 000 Kč</t>
    </r>
  </si>
  <si>
    <r>
      <rPr>
        <b/>
        <sz val="11"/>
        <rFont val="Calibri"/>
        <family val="2"/>
        <charset val="238"/>
        <scheme val="minor"/>
      </rPr>
      <t>Měsíční spotřeba materiálu</t>
    </r>
    <r>
      <rPr>
        <sz val="11"/>
        <rFont val="Calibri"/>
        <family val="2"/>
        <charset val="238"/>
        <scheme val="minor"/>
      </rPr>
      <t xml:space="preserve"> stanovena a vyčíslena vedoucím výroby pro 10 ks technologií ve výši 23 % objemu celkové měsíční spotřeby materiálu za základní rok 2016</t>
    </r>
  </si>
  <si>
    <r>
      <rPr>
        <b/>
        <sz val="11"/>
        <rFont val="Calibri"/>
        <family val="2"/>
        <charset val="238"/>
        <scheme val="minor"/>
      </rPr>
      <t>Měsíční servis technologií a drobné opravy</t>
    </r>
    <r>
      <rPr>
        <sz val="11"/>
        <rFont val="Calibri"/>
        <family val="2"/>
        <charset val="238"/>
        <scheme val="minor"/>
      </rPr>
      <t xml:space="preserve"> ve výši 0,5 % celkových nákladů na opravy a udržování za společnost žadatele v roce 2016 </t>
    </r>
  </si>
  <si>
    <r>
      <rPr>
        <b/>
        <sz val="11"/>
        <rFont val="Calibri"/>
        <family val="2"/>
        <charset val="238"/>
        <scheme val="minor"/>
      </rPr>
      <t>Roční tržba z prodeje vlastních výrobků a služeb:</t>
    </r>
    <r>
      <rPr>
        <sz val="11"/>
        <rFont val="Calibri"/>
        <family val="2"/>
        <charset val="238"/>
        <scheme val="minor"/>
      </rPr>
      <t xml:space="preserve"> meziroční nárůst tržeb stanoven z tržeb za rok 2016.</t>
    </r>
    <r>
      <rPr>
        <b/>
        <sz val="11"/>
        <rFont val="Calibri"/>
        <family val="2"/>
        <charset val="238"/>
        <scheme val="minor"/>
      </rPr>
      <t xml:space="preserve"> Analýza tržeb</t>
    </r>
    <r>
      <rPr>
        <sz val="11"/>
        <rFont val="Calibri"/>
        <family val="2"/>
        <charset val="238"/>
        <scheme val="minor"/>
      </rPr>
      <t xml:space="preserve"> vychází z tržeb dosažených v minulých letech (2013 - 2017) a přihlíží k hodnotě indikátoru povinného k naplnění (meziroční nárůst tržeb o 10 %). Na základě analýzy tržeb stanoven průměrný meziroční nárůst cca 13 % vůči tržbám základního období (2016) v období udržitelnosti: 2018 (5 %), 2019 (11 %), 2020 (12 %), 2021 (13 %), 2022 (14 %), 2023 (15 %), po roce 2023 2 % meziroční nárůst tržeb z prodeje vlastních výrobků a služeb.</t>
    </r>
  </si>
  <si>
    <t>1. Základní zdroje financování projektu  (s DPH)</t>
  </si>
  <si>
    <t xml:space="preserve">Synergický svařovací zdroj, vč. příslušenství (typ A) </t>
  </si>
  <si>
    <t xml:space="preserve">Synergický svařovací zdroj, vč. příslušenství (typ B) 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</si>
  <si>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charset val="238"/>
        <scheme val="minor"/>
      </rPr>
      <t xml:space="preserve"> DCF</t>
    </r>
    <r>
      <rPr>
        <vertAlign val="subscript"/>
        <sz val="11"/>
        <color theme="1"/>
        <rFont val="Calibri"/>
        <family val="2"/>
        <charset val="238"/>
        <scheme val="minor"/>
      </rPr>
      <t>t</t>
    </r>
    <r>
      <rPr>
        <sz val="11"/>
        <color theme="1"/>
        <rFont val="Calibri"/>
        <family val="2"/>
        <charset val="238"/>
        <scheme val="minor"/>
      </rPr>
      <t xml:space="preserve">&gt;0 pro rok </t>
    </r>
  </si>
  <si>
    <t>2. CELKOVÉ FINANČNÍ NÁKLADY OSTATNÍ (NÁKLADOVÉ ÚROKY Z ÚVĚRU + OSTATNÍ FINANČÍ NÁKLADY)</t>
  </si>
  <si>
    <t xml:space="preserve">1. Diskontování finančních hotovostních toků projektu 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</si>
  <si>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charset val="238"/>
        <scheme val="minor"/>
      </rPr>
      <t xml:space="preserve"> CF</t>
    </r>
    <r>
      <rPr>
        <vertAlign val="subscript"/>
        <sz val="11"/>
        <color theme="1"/>
        <rFont val="Calibri"/>
        <family val="2"/>
        <charset val="238"/>
        <scheme val="minor"/>
      </rPr>
      <t>t</t>
    </r>
    <r>
      <rPr>
        <sz val="11"/>
        <color theme="1"/>
        <rFont val="Calibri"/>
        <family val="2"/>
        <charset val="238"/>
        <scheme val="minor"/>
      </rPr>
      <t xml:space="preserve">&gt;0 pro rok </t>
    </r>
  </si>
  <si>
    <t>PI &gt; 1</t>
  </si>
  <si>
    <t>FIRR &gt; FDR (WACC)</t>
  </si>
  <si>
    <t>15% &gt; FIRR &gt;  4 % FDR (WACC)</t>
  </si>
  <si>
    <t xml:space="preserve">1 &lt; DDN &lt; RO </t>
  </si>
  <si>
    <t>ANALÝZA STRUKTURY ZDROJŮ FINANCOVÁNÍ - VSTUPNÍ ÚDAJE DO TABULKY ZDROJŮ FINANCOVÁNÍ PROJEKTU</t>
  </si>
  <si>
    <t>Výše celkových tržeb společnosti Šroub &amp; Matka, spol. s r.o. (včetně tržeb plynoucích z projektu)</t>
  </si>
  <si>
    <t>PODKLAD PRO KALKULACI PROVOZNÍCH NÁKLADŮ (VÝCHOZÍ ROK 2016)</t>
  </si>
  <si>
    <r>
      <t xml:space="preserve">Provozní náklady </t>
    </r>
    <r>
      <rPr>
        <b/>
        <sz val="11"/>
        <color rgb="FFC00000"/>
        <rFont val="Calibri"/>
        <family val="2"/>
        <charset val="238"/>
        <scheme val="minor"/>
      </rPr>
      <t>(modul CBA)</t>
    </r>
  </si>
  <si>
    <r>
      <t xml:space="preserve">Osobní náklady - celkem </t>
    </r>
    <r>
      <rPr>
        <b/>
        <sz val="11"/>
        <color rgb="FFC00000"/>
        <rFont val="Calibri"/>
        <family val="2"/>
        <charset val="238"/>
        <scheme val="minor"/>
      </rPr>
      <t>(modul CBA)</t>
    </r>
  </si>
  <si>
    <r>
      <t xml:space="preserve">Mzdy za všechny zaměstnance </t>
    </r>
    <r>
      <rPr>
        <b/>
        <sz val="11"/>
        <color rgb="FFC00000"/>
        <rFont val="Calibri"/>
        <family val="2"/>
        <charset val="238"/>
        <scheme val="minor"/>
      </rPr>
      <t>(modul CBA)</t>
    </r>
  </si>
  <si>
    <r>
      <t xml:space="preserve">Pojistné za všechny zaměstnance </t>
    </r>
    <r>
      <rPr>
        <b/>
        <sz val="11"/>
        <color rgb="FFC00000"/>
        <rFont val="Calibri"/>
        <family val="2"/>
        <charset val="238"/>
        <scheme val="minor"/>
      </rPr>
      <t>(modul CBA)</t>
    </r>
  </si>
  <si>
    <r>
      <t xml:space="preserve">Ostatní náklady </t>
    </r>
    <r>
      <rPr>
        <sz val="11"/>
        <rFont val="Calibri"/>
        <family val="2"/>
        <charset val="238"/>
        <scheme val="minor"/>
      </rPr>
      <t xml:space="preserve">(poštovné, doprava, účetní a ekonomické poradenství, daň z nemovitostí, ostatní daně mimo DPPO/DPFO) </t>
    </r>
    <r>
      <rPr>
        <b/>
        <sz val="11"/>
        <color rgb="FFC00000"/>
        <rFont val="Calibri"/>
        <family val="2"/>
        <charset val="238"/>
        <scheme val="minor"/>
      </rPr>
      <t>(modul CBA)</t>
    </r>
  </si>
  <si>
    <r>
      <t xml:space="preserve">Pojištění majetku </t>
    </r>
    <r>
      <rPr>
        <b/>
        <sz val="11"/>
        <color rgb="FFC00000"/>
        <rFont val="Calibri"/>
        <family val="2"/>
        <charset val="238"/>
        <scheme val="minor"/>
      </rPr>
      <t>(modul CBA)</t>
    </r>
  </si>
  <si>
    <r>
      <t xml:space="preserve">Celkové finanční náklady pro návratnost investice </t>
    </r>
    <r>
      <rPr>
        <sz val="11"/>
        <color theme="1"/>
        <rFont val="Calibri"/>
        <family val="2"/>
        <charset val="238"/>
        <scheme val="minor"/>
      </rPr>
      <t xml:space="preserve">(nevyplňuje se) </t>
    </r>
    <r>
      <rPr>
        <b/>
        <sz val="11"/>
        <color rgb="FFC00000"/>
        <rFont val="Calibri"/>
        <family val="2"/>
        <charset val="238"/>
        <scheme val="minor"/>
      </rPr>
      <t>(modul CBA)</t>
    </r>
  </si>
  <si>
    <r>
      <t xml:space="preserve">Celkové finanční náklady ostatní </t>
    </r>
    <r>
      <rPr>
        <sz val="11"/>
        <color theme="1"/>
        <rFont val="Calibri"/>
        <family val="2"/>
        <charset val="238"/>
        <scheme val="minor"/>
      </rPr>
      <t xml:space="preserve">(součet: nákladové úroky z úvěru a ostatní finanční náklady) </t>
    </r>
    <r>
      <rPr>
        <b/>
        <sz val="11"/>
        <color rgb="FFC00000"/>
        <rFont val="Calibri"/>
        <family val="2"/>
        <charset val="238"/>
        <scheme val="minor"/>
      </rPr>
      <t>(modul CBA)</t>
    </r>
  </si>
  <si>
    <r>
      <t xml:space="preserve">Nákladové úroky </t>
    </r>
    <r>
      <rPr>
        <b/>
        <sz val="11"/>
        <color rgb="FFC00000"/>
        <rFont val="Calibri"/>
        <family val="2"/>
        <charset val="238"/>
        <scheme val="minor"/>
      </rPr>
      <t>(vstupují do CBA)</t>
    </r>
  </si>
  <si>
    <r>
      <t xml:space="preserve">Celkové finanční náklady ostatní </t>
    </r>
    <r>
      <rPr>
        <sz val="11"/>
        <color theme="1"/>
        <rFont val="Calibri"/>
        <family val="2"/>
        <charset val="238"/>
        <scheme val="minor"/>
      </rPr>
      <t>(součet: nákladové úroky a ostatní finanční náklady)</t>
    </r>
    <r>
      <rPr>
        <sz val="11"/>
        <color rgb="FFC00000"/>
        <rFont val="Calibri"/>
        <family val="2"/>
        <charset val="238"/>
        <scheme val="minor"/>
      </rPr>
      <t xml:space="preserve"> </t>
    </r>
    <r>
      <rPr>
        <b/>
        <sz val="11"/>
        <color rgb="FFC00000"/>
        <rFont val="Calibri"/>
        <family val="2"/>
        <charset val="238"/>
        <scheme val="minor"/>
      </rPr>
      <t>(modul CBA)</t>
    </r>
  </si>
  <si>
    <r>
      <t>Kumulovaná návratnost investice (Suma CF</t>
    </r>
    <r>
      <rPr>
        <vertAlign val="subscript"/>
        <sz val="11"/>
        <color rgb="FFC00000"/>
        <rFont val="Calibri"/>
        <family val="2"/>
        <charset val="238"/>
        <scheme val="minor"/>
      </rPr>
      <t>t</t>
    </r>
    <r>
      <rPr>
        <sz val="11"/>
        <color rgb="FFC00000"/>
        <rFont val="Calibri"/>
        <family val="2"/>
        <charset val="238"/>
        <scheme val="minor"/>
      </rPr>
      <t>)</t>
    </r>
  </si>
  <si>
    <r>
      <t>Kumulovaná diskontovaná návratnost investice (Suma DCF</t>
    </r>
    <r>
      <rPr>
        <vertAlign val="subscript"/>
        <sz val="11"/>
        <color rgb="FFC00000"/>
        <rFont val="Calibri"/>
        <family val="2"/>
        <charset val="238"/>
        <scheme val="minor"/>
      </rPr>
      <t>t</t>
    </r>
    <r>
      <rPr>
        <sz val="11"/>
        <color rgb="FFC00000"/>
        <rFont val="Calibri"/>
        <family val="2"/>
        <charset val="238"/>
        <scheme val="minor"/>
      </rPr>
      <t>)</t>
    </r>
  </si>
  <si>
    <t>Poznámka: Zdroje financování nezahrnují dotaci ve výši 4 875 922,80 Kč. Bez dotace se suma zdrojů rovná sumě výdajů vynaložených na projekt v realizační fázi.</t>
  </si>
  <si>
    <t>Příjmy (Zdroje) (+)</t>
  </si>
  <si>
    <t>Poznámka: CF = Cash flow, NCF = Čisté cash flow (čístý hotovostní tok)</t>
  </si>
  <si>
    <t>Diskontovaná doba návratnosti (DDN) (DISKONTOVANÉ CF)</t>
  </si>
  <si>
    <t xml:space="preserve">1 &lt; DN &lt; RO </t>
  </si>
  <si>
    <t>7. Zdroje žadatele do CBA - ROZDÍLOVÁ VARIANTA (bez DPH)</t>
  </si>
  <si>
    <t>Rok (počet let)</t>
  </si>
  <si>
    <r>
      <t>Období (t)</t>
    </r>
    <r>
      <rPr>
        <b/>
        <sz val="11"/>
        <color rgb="FFFF0000"/>
        <rFont val="Calibri"/>
        <family val="2"/>
        <charset val="238"/>
        <scheme val="minor"/>
      </rPr>
      <t xml:space="preserve"> Diskontování</t>
    </r>
  </si>
  <si>
    <t>Projektový cyklus</t>
  </si>
  <si>
    <t>fáze</t>
  </si>
  <si>
    <t xml:space="preserve">FPP </t>
  </si>
  <si>
    <t>FNPV</t>
  </si>
  <si>
    <t>FPI</t>
  </si>
  <si>
    <t>FIRR</t>
  </si>
  <si>
    <t>FPP</t>
  </si>
  <si>
    <t>Nárok na odpočet</t>
  </si>
  <si>
    <t>POLOŽKOVÝ ROZPOČET PROJEKTU</t>
  </si>
  <si>
    <t>Název</t>
  </si>
  <si>
    <t>Částka celkem</t>
  </si>
  <si>
    <r>
      <t xml:space="preserve">Celková výše investičních nákladů projektu - </t>
    </r>
    <r>
      <rPr>
        <b/>
        <sz val="12"/>
        <color rgb="FFC00000"/>
        <rFont val="Calibri"/>
        <family val="2"/>
        <charset val="238"/>
        <scheme val="minor"/>
      </rPr>
      <t>VZNIK NÁKLADU</t>
    </r>
  </si>
  <si>
    <t xml:space="preserve">Nerozdělený zisk společnosti po zdanění na předfinancování investičních (způsobilých) nákladů projektu </t>
  </si>
  <si>
    <t xml:space="preserve">Nerozdělený zisk společnosti po zdanění na předfinancování neinvestičních a nezpůsobilých nákladů projektu </t>
  </si>
  <si>
    <t>Poznámka:</t>
  </si>
  <si>
    <t>Zdroj: Šroub &amp; Matka, spol. s r.o. - finanční plán a podklady pro finanční analýzu projektu (2018)</t>
  </si>
  <si>
    <t>Vlastní zdroje žadatele na úhradu celkových finančních nákladů pro návratnost investice (splátky úvěrů a půjček vč. nákladových úroků) (+)</t>
  </si>
  <si>
    <t xml:space="preserve">Finační plán (Harmonogram ŽoP) </t>
  </si>
  <si>
    <t>V Kč, bez DPH</t>
  </si>
  <si>
    <t xml:space="preserve">Sledované období </t>
  </si>
  <si>
    <t>Záloha - investice (plánovaný termín předložení ŽoP a její výše)</t>
  </si>
  <si>
    <t>Vyúčtování - investice (plánovaný termín proplacení ŽOP a její výše)</t>
  </si>
  <si>
    <t>Zdroj: Šroub &amp; Matka, spol. s r.o. - finanční plán a podklady pro finanční analýzu projektu (2018) (obsah inspirován skutečným projektem, volně upraveno a pozměněno) (2023)</t>
  </si>
  <si>
    <t xml:space="preserve">Jiné příjmy projektu a finanční mezera </t>
  </si>
  <si>
    <t>ŽoP</t>
  </si>
  <si>
    <t>Datum předložení</t>
  </si>
  <si>
    <t>Záloha  - plán (Kč)</t>
  </si>
  <si>
    <t>Pořadí, termín a výše ŽoP</t>
  </si>
  <si>
    <t>Celkový provoz</t>
  </si>
  <si>
    <r>
      <t>Celkové ostatní náklady (bez pojištění) - celkem</t>
    </r>
    <r>
      <rPr>
        <b/>
        <sz val="11"/>
        <color rgb="FFC00000"/>
        <rFont val="Calibri"/>
        <family val="2"/>
        <charset val="238"/>
        <scheme val="minor"/>
      </rPr>
      <t xml:space="preserve"> (modul CBA)</t>
    </r>
  </si>
  <si>
    <r>
      <t xml:space="preserve">Roční spotřeba materiálu - </t>
    </r>
    <r>
      <rPr>
        <b/>
        <sz val="11"/>
        <color theme="1"/>
        <rFont val="Calibri"/>
        <family val="2"/>
        <charset val="238"/>
        <scheme val="minor"/>
      </rPr>
      <t xml:space="preserve">nerelevantní, </t>
    </r>
    <r>
      <rPr>
        <sz val="11"/>
        <color theme="1"/>
        <rFont val="Calibri"/>
        <family val="2"/>
        <charset val="238"/>
        <scheme val="minor"/>
      </rPr>
      <t xml:space="preserve">2 % meziroční růst </t>
    </r>
    <r>
      <rPr>
        <b/>
        <sz val="11"/>
        <color rgb="FFC00000"/>
        <rFont val="Calibri"/>
        <family val="2"/>
        <charset val="238"/>
        <scheme val="minor"/>
      </rPr>
      <t>(očištěno o inflaci)</t>
    </r>
  </si>
  <si>
    <t>Provozní náklady projektu - INVESTIČNÍ VARIANTA (v Kč, bez DPH)</t>
  </si>
  <si>
    <t>Provozní náklady projektu - NULOVÁ VARIANTA (v Kč, bez DPH)</t>
  </si>
  <si>
    <t>Provozní náklady projektu - ROZDÍLOVÁ VARIANTA</t>
  </si>
  <si>
    <r>
      <t xml:space="preserve">Celkové ostatní náklady (bez pojištění) - celkem </t>
    </r>
    <r>
      <rPr>
        <b/>
        <sz val="11"/>
        <color rgb="FFC00000"/>
        <rFont val="Calibri"/>
        <family val="2"/>
        <charset val="238"/>
        <scheme val="minor"/>
      </rPr>
      <t>(modul CBA)</t>
    </r>
  </si>
  <si>
    <t>Provozní výnosy projektu - NULOVÁ VARIANTA (v Kč, bez DPH)</t>
  </si>
  <si>
    <t>Provozní výnosy projektu - INVESTIČNÍ VARIANTA (v Kč, bez DPH)</t>
  </si>
  <si>
    <t>Stanovení tržeb pro 0 pořízených technologií</t>
  </si>
  <si>
    <r>
      <t xml:space="preserve">Východiska pro stanovení výše tržeb nastaveny dle finančního plánu celkového provozu firmy žadatele za rok </t>
    </r>
    <r>
      <rPr>
        <b/>
        <sz val="11"/>
        <color rgb="FFC00000"/>
        <rFont val="Calibri"/>
        <family val="2"/>
        <charset val="238"/>
        <scheme val="minor"/>
      </rPr>
      <t>2016</t>
    </r>
    <r>
      <rPr>
        <b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Meziroční růstový trend tržeb za vlastní výrobky a služby  odhadnut na základě růstu objemu produkce (5 - 15 %) v období udržitelnosti (2018 - 2023). </t>
    </r>
  </si>
  <si>
    <t>Provozní výnosy projektu - ROZDÍLOVÁ VARIANTA</t>
  </si>
  <si>
    <r>
      <t>Plán Cash-Flow v realizační a provozní fázi projektu (v Kč,</t>
    </r>
    <r>
      <rPr>
        <b/>
        <sz val="14"/>
        <color rgb="FFFF0000"/>
        <rFont val="Calibri"/>
        <family val="2"/>
        <charset val="238"/>
        <scheme val="minor"/>
      </rPr>
      <t xml:space="preserve"> </t>
    </r>
    <r>
      <rPr>
        <b/>
        <sz val="14"/>
        <color rgb="FFC00000"/>
        <rFont val="Calibri"/>
        <family val="2"/>
        <charset val="238"/>
        <scheme val="minor"/>
      </rPr>
      <t>bez DPH</t>
    </r>
    <r>
      <rPr>
        <b/>
        <sz val="14"/>
        <color theme="1"/>
        <rFont val="Calibri"/>
        <family val="2"/>
        <charset val="238"/>
        <scheme val="minor"/>
      </rPr>
      <t>) - ROČNÍ</t>
    </r>
  </si>
  <si>
    <r>
      <t>3. Výpočet kriteriálních ukazatelů FINANČNÍ ANALÝZY z finančních hotovostních toků (</t>
    </r>
    <r>
      <rPr>
        <b/>
        <sz val="18"/>
        <color rgb="FFC00000"/>
        <rFont val="Calibri"/>
        <family val="2"/>
        <charset val="238"/>
        <scheme val="minor"/>
      </rPr>
      <t>Návratnost investice pro FA</t>
    </r>
    <r>
      <rPr>
        <b/>
        <sz val="18"/>
        <color theme="1"/>
        <rFont val="Calibri"/>
        <family val="2"/>
        <charset val="238"/>
        <scheme val="minor"/>
      </rPr>
      <t xml:space="preserve">) </t>
    </r>
  </si>
  <si>
    <t>provoz/udržitelnost</t>
  </si>
  <si>
    <t>Údaje k vyplění žadatelem - ALTERNATIVNÍ SCHÉMA STANOVENÍ TRŽEB (MODELOVÝ PROJEKTOVÝ ZÁMĚR)</t>
  </si>
  <si>
    <t>Modelový projekt: "Zvýšení technologické vybavenosti společnosti Šroub &amp; Matka, spol. s r.o. v Ostravě"</t>
  </si>
  <si>
    <t>Plán cash flow (průběhu výdajů a zdrojů krytí) projektu v realizační fázi</t>
  </si>
  <si>
    <t>Provozní výdaje nezahrnují splátky jistiny úvěrů a půjček (ostatní finanční náklady)</t>
  </si>
  <si>
    <r>
      <t>Neinvestiční náklady</t>
    </r>
    <r>
      <rPr>
        <sz val="11"/>
        <rFont val="Calibri"/>
        <family val="2"/>
        <charset val="238"/>
        <scheme val="minor"/>
      </rPr>
      <t xml:space="preserve"> (veřejné zakázky, předprojektová příprava, administrace projektu)</t>
    </r>
  </si>
  <si>
    <r>
      <rPr>
        <b/>
        <sz val="11"/>
        <color theme="1"/>
        <rFont val="Calibri"/>
        <family val="2"/>
        <charset val="238"/>
        <scheme val="minor"/>
      </rPr>
      <t>Pojištění technologického souboru</t>
    </r>
    <r>
      <rPr>
        <sz val="11"/>
        <color theme="1"/>
        <rFont val="Calibri"/>
        <family val="2"/>
        <charset val="238"/>
        <scheme val="minor"/>
      </rPr>
      <t xml:space="preserve"> pro komplexní zpracování plechu od okamžiku pořízení, tj. rok 2018 ve výši 45.000 Kč/ rok</t>
    </r>
  </si>
  <si>
    <t>realizace</t>
  </si>
  <si>
    <t>9</t>
  </si>
  <si>
    <t xml:space="preserve">Nerozdělený zisk společnosti po zdanění na financování provozní ztráty 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</si>
  <si>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charset val="238"/>
        <scheme val="minor"/>
      </rPr>
      <t xml:space="preserve"> NCF</t>
    </r>
    <r>
      <rPr>
        <vertAlign val="subscript"/>
        <sz val="11"/>
        <color theme="1"/>
        <rFont val="Calibri"/>
        <family val="2"/>
        <charset val="238"/>
        <scheme val="minor"/>
      </rPr>
      <t>t</t>
    </r>
    <r>
      <rPr>
        <sz val="11"/>
        <color theme="1"/>
        <rFont val="Calibri"/>
        <family val="2"/>
        <charset val="238"/>
        <scheme val="minor"/>
      </rPr>
      <t xml:space="preserve">&gt;0 pro rok </t>
    </r>
  </si>
  <si>
    <r>
      <rPr>
        <b/>
        <sz val="11"/>
        <color theme="1"/>
        <rFont val="Calibri"/>
        <family val="2"/>
        <charset val="238"/>
        <scheme val="minor"/>
      </rPr>
      <t>Ostatní náklady</t>
    </r>
    <r>
      <rPr>
        <sz val="11"/>
        <color theme="1"/>
        <rFont val="Calibri"/>
        <family val="2"/>
        <charset val="238"/>
        <scheme val="minor"/>
      </rPr>
      <t xml:space="preserve"> - roční náklady zahrnují podíl z daně z nemovitosti, kurzové ztráty z očekávaného vývoje měnového kurzu EUR/Kč, hodnota ve výši 30 % celkové výše za rok 2016, 1 % meziroční nárůst</t>
    </r>
  </si>
  <si>
    <r>
      <rPr>
        <b/>
        <sz val="11"/>
        <color theme="1"/>
        <rFont val="Calibri"/>
        <family val="2"/>
        <charset val="238"/>
        <scheme val="minor"/>
      </rPr>
      <t>Neinvestiční náklady outsourcingu</t>
    </r>
    <r>
      <rPr>
        <sz val="11"/>
        <color theme="1"/>
        <rFont val="Calibri"/>
        <family val="2"/>
        <charset val="238"/>
        <scheme val="minor"/>
      </rPr>
      <t xml:space="preserve"> - předprojektová příprava a administrace projektu 130 000 Kč, veřejná zakázka 70 000 Kč (</t>
    </r>
    <r>
      <rPr>
        <b/>
        <sz val="11"/>
        <color theme="1"/>
        <rFont val="Calibri"/>
        <family val="2"/>
        <charset val="238"/>
        <scheme val="minor"/>
      </rPr>
      <t>převod neinvestičních nákladů do provozních nákladů - dle metodiky OP PIK)</t>
    </r>
  </si>
  <si>
    <t>Skokově progresivní růst v čase v prvních pěti letech o 1 %, od r. 2023 konstatní růst nákladů, pouze jeden stroj v údržbě 2 000 Kč ročně</t>
  </si>
  <si>
    <r>
      <t xml:space="preserve">Meziroční nárůst hrubých </t>
    </r>
    <r>
      <rPr>
        <b/>
        <sz val="11"/>
        <color theme="1"/>
        <rFont val="Calibri"/>
        <family val="2"/>
        <charset val="238"/>
        <scheme val="minor"/>
      </rPr>
      <t>reálných</t>
    </r>
    <r>
      <rPr>
        <sz val="11"/>
        <color theme="1"/>
        <rFont val="Calibri"/>
        <family val="2"/>
        <charset val="238"/>
        <scheme val="minor"/>
      </rPr>
      <t xml:space="preserve"> mezd zaměstnanců 3 % </t>
    </r>
    <r>
      <rPr>
        <b/>
        <sz val="11"/>
        <color rgb="FFC00000"/>
        <rFont val="Calibri"/>
        <family val="2"/>
        <charset val="238"/>
        <scheme val="minor"/>
      </rPr>
      <t>(růst mezd očištěný o inflaci)</t>
    </r>
  </si>
  <si>
    <r>
      <rPr>
        <b/>
        <sz val="11"/>
        <rFont val="Calibri"/>
        <family val="2"/>
        <charset val="238"/>
        <scheme val="minor"/>
      </rPr>
      <t xml:space="preserve">Reinvestice do majetku </t>
    </r>
    <r>
      <rPr>
        <sz val="11"/>
        <rFont val="Calibri"/>
        <family val="2"/>
        <charset val="238"/>
        <scheme val="minor"/>
      </rPr>
      <t xml:space="preserve">(morální zastarávání, technické zhodnocení) </t>
    </r>
  </si>
  <si>
    <r>
      <rPr>
        <b/>
        <sz val="11"/>
        <rFont val="Calibri"/>
        <family val="2"/>
        <charset val="238"/>
        <scheme val="minor"/>
      </rPr>
      <t>Nákladové úroky z úvěru</t>
    </r>
    <r>
      <rPr>
        <sz val="11"/>
        <rFont val="Calibri"/>
        <family val="2"/>
        <charset val="238"/>
        <scheme val="minor"/>
      </rPr>
      <t xml:space="preserve">  - </t>
    </r>
    <r>
      <rPr>
        <b/>
        <sz val="11"/>
        <rFont val="Calibri"/>
        <family val="2"/>
        <charset val="238"/>
        <scheme val="minor"/>
      </rPr>
      <t>nerelevantní</t>
    </r>
    <r>
      <rPr>
        <sz val="11"/>
        <rFont val="Calibri"/>
        <family val="2"/>
        <charset val="238"/>
        <scheme val="minor"/>
      </rPr>
      <t xml:space="preserve"> (předfinancování projektu bez úvěru z vlastních zdrojů žadatele)</t>
    </r>
  </si>
  <si>
    <r>
      <rPr>
        <b/>
        <sz val="11"/>
        <rFont val="Calibri"/>
        <family val="2"/>
        <charset val="238"/>
        <scheme val="minor"/>
      </rPr>
      <t>Jistina úvěru</t>
    </r>
    <r>
      <rPr>
        <sz val="11"/>
        <rFont val="Calibri"/>
        <family val="2"/>
        <charset val="238"/>
        <scheme val="minor"/>
      </rPr>
      <t xml:space="preserve"> - </t>
    </r>
    <r>
      <rPr>
        <b/>
        <sz val="11"/>
        <rFont val="Calibri"/>
        <family val="2"/>
        <charset val="238"/>
        <scheme val="minor"/>
      </rPr>
      <t xml:space="preserve">nerelevantní </t>
    </r>
    <r>
      <rPr>
        <sz val="11"/>
        <rFont val="Calibri"/>
        <family val="2"/>
        <charset val="238"/>
        <scheme val="minor"/>
      </rPr>
      <t>(předfinancování projektu bez bez úvěru z vlastních zdrojů žadatele)</t>
    </r>
  </si>
  <si>
    <t xml:space="preserve">Analýza a predikce vývoje tržeb za prodej vlastních výrobků a služeb společnosti Šroub &amp; Matka, spol. s r.o. </t>
  </si>
  <si>
    <t>Finanční funkce Excel: Čístá SOUČHODNOTA</t>
  </si>
  <si>
    <t>Provozní výdaje nezahrnují finanční náklady pro návratnost investice (nákladové úroky z úvěru + ostatní finanční náklady)  - UVEDENO NÍŽE SAMOSTATNĚ</t>
  </si>
  <si>
    <t>Počet předložených ŽoP</t>
  </si>
  <si>
    <t>Dotace Ze státního rozpočtu (MPO ČR):</t>
  </si>
  <si>
    <t>CZV = celkové způsobilé výdaje projektu. Výše celkových zdrojů žadatele je v prosinci roku 2025 snížena o výši příspěvku Unie, který bude v případě schválení žádosti o podporu využit k refundaci vlastních zdrojů příjemce na konci 4. kvartálu roku 2025.</t>
  </si>
  <si>
    <t>Poznámka: Výše celkových zdrojů žadatele je v roce 2025 snížena o výši příspěvku Unie, který bude v případě schválení žádosti o podporu využit k refundaci vlastních zdrojů příjemce na konci 4. kvartálu roku 2025</t>
  </si>
  <si>
    <t>2025_CELKEM</t>
  </si>
  <si>
    <t>2026_CELKEM</t>
  </si>
  <si>
    <t>2027_CELKEM</t>
  </si>
  <si>
    <t>2028_CELKEM</t>
  </si>
  <si>
    <t>2029_CELKEM</t>
  </si>
  <si>
    <t>2030_CELKEM</t>
  </si>
  <si>
    <t xml:space="preserve"> Zdroj: Šroub &amp; Matka, spol. s r.o. – podkladové materiály pro tvorbu rozpočtu projektu (2018) (obsah inspirován skutečným projektem, volně upraveno a pozměněno) (2024)</t>
  </si>
  <si>
    <t>Zdroj: Šroub &amp; Matka, spol. s r.o. - finační plán a podklady pro finanční analýzu projektu (2018) (obsah inspirován skutečným projektem, volně upraveno a pozměněno) (2024)</t>
  </si>
  <si>
    <t>Zdroj: Šroub &amp; Matka, spol. s r.o. - finanční plán a podklady pro finanční analýzu projektu (2018) (obsah inspirován skutečným projektem, volně upraveno a pozměněno) (2025)</t>
  </si>
  <si>
    <t>Projekt nevytváří provozní příjmy (jiné provozní příjmy) s dopadem na finanční mezeru</t>
  </si>
  <si>
    <t>Zdroj: Šroub &amp; Matka, spol. s r.o. - finanční plán a podklady pro finanční analýzu projektu (2018) (obsah inspirován skutečným projektem, volně upraveno a pozměněno) (2024)</t>
  </si>
  <si>
    <t>2024*</t>
  </si>
  <si>
    <t>* Rok 2024: odhad údajů pro Výkaz zisku a ztráty k 31. 12. 2024</t>
  </si>
  <si>
    <t>(2026-2030)</t>
  </si>
  <si>
    <t>k roku 2023</t>
  </si>
  <si>
    <t>2025/2024</t>
  </si>
  <si>
    <t>2026/2025</t>
  </si>
  <si>
    <t>2027/2026</t>
  </si>
  <si>
    <t>2028/2027</t>
  </si>
  <si>
    <t>2029/2028</t>
  </si>
  <si>
    <t>2030/2029</t>
  </si>
  <si>
    <t>2026-2030</t>
  </si>
  <si>
    <t>Trend vývoje společnosti Šroub &amp; Matka, spol. s r.o. BEZ PROJEKTU (nul. varianta) - meziroční diference (2020-2024)</t>
  </si>
  <si>
    <t>Trend vývoje společnosti Šroub &amp; Matka, spol. s r.o. BEZ PROJEKTU (nul. varianta) - průměrná diference (2020-2024)</t>
  </si>
  <si>
    <t>2024-2023</t>
  </si>
  <si>
    <t>% podíl průměrné diference k hodnotě základního roku (2023)</t>
  </si>
  <si>
    <t>Trend vývoje projektu společnosti Šroub &amp; Matka, spol. s r.o. - meziroční diference (2026-2030)</t>
  </si>
  <si>
    <t>2026-2025</t>
  </si>
  <si>
    <t>2027-2026</t>
  </si>
  <si>
    <t>2028-2027</t>
  </si>
  <si>
    <t>2029-2028</t>
  </si>
  <si>
    <t>2030-2029</t>
  </si>
  <si>
    <t>Trend vývoje projektu společnosti Šroub &amp; Matka, spol. s r.o. - průměrná diference (2026-2030)</t>
  </si>
  <si>
    <t xml:space="preserve">Průměrná meziroční změna (2026 - 2030), tis. Kč  </t>
  </si>
  <si>
    <t xml:space="preserve">Průměrná meziroční změna (2026 - 2030),  %  </t>
  </si>
  <si>
    <t xml:space="preserve">Průměrný podíl (2026 - 2030) </t>
  </si>
  <si>
    <t>Tržby z projektu společnosti (2023): poslední uzavřené účetní obodbí před podáním žádosti o podporu)</t>
  </si>
  <si>
    <t xml:space="preserve">SHRNUTÍ </t>
  </si>
  <si>
    <r>
      <t>NEDISKONTOVANÉ hotovostní toky projektu ve stálých cenách základního období (</t>
    </r>
    <r>
      <rPr>
        <b/>
        <sz val="14"/>
        <color rgb="FFC00000"/>
        <rFont val="Calibri"/>
        <family val="2"/>
        <charset val="238"/>
        <scheme val="minor"/>
      </rPr>
      <t>2023</t>
    </r>
    <r>
      <rPr>
        <b/>
        <sz val="14"/>
        <color theme="1"/>
        <rFont val="Calibri"/>
        <family val="2"/>
        <charset val="238"/>
        <scheme val="minor"/>
      </rPr>
      <t>) v Kč, bez DPH</t>
    </r>
  </si>
  <si>
    <t>2025-2034</t>
  </si>
  <si>
    <r>
      <t>DISKONTOVANÉ hotovostní toky projektu ve stálých cenách základního období (</t>
    </r>
    <r>
      <rPr>
        <b/>
        <sz val="14"/>
        <color rgb="FFC00000"/>
        <rFont val="Calibri"/>
        <family val="2"/>
        <charset val="238"/>
        <scheme val="minor"/>
      </rPr>
      <t>2023</t>
    </r>
    <r>
      <rPr>
        <b/>
        <sz val="14"/>
        <color theme="1"/>
        <rFont val="Calibri"/>
        <family val="2"/>
        <charset val="238"/>
        <scheme val="minor"/>
      </rPr>
      <t>) v Kč, bez DPH</t>
    </r>
  </si>
  <si>
    <t xml:space="preserve">Ostatní finanční náklady (modul CBA) </t>
  </si>
  <si>
    <r>
      <t xml:space="preserve">Časový harmonogram projektu: Předpokládaný počátek realizace projektu: </t>
    </r>
    <r>
      <rPr>
        <b/>
        <sz val="11"/>
        <color theme="1"/>
        <rFont val="Calibri"/>
        <family val="2"/>
        <charset val="238"/>
        <scheme val="minor"/>
      </rPr>
      <t>1. 3. 2025</t>
    </r>
    <r>
      <rPr>
        <sz val="11"/>
        <color theme="1"/>
        <rFont val="Calibri"/>
        <family val="2"/>
        <charset val="238"/>
        <scheme val="minor"/>
      </rPr>
      <t xml:space="preserve">; Předpokládaný konec realizace projektu: </t>
    </r>
    <r>
      <rPr>
        <b/>
        <sz val="11"/>
        <color theme="1"/>
        <rFont val="Calibri"/>
        <family val="2"/>
        <charset val="238"/>
        <scheme val="minor"/>
      </rPr>
      <t xml:space="preserve">30. 11. 2025; </t>
    </r>
    <r>
      <rPr>
        <sz val="11"/>
        <color theme="1"/>
        <rFont val="Calibri"/>
        <family val="2"/>
        <charset val="238"/>
        <scheme val="minor"/>
      </rPr>
      <t xml:space="preserve">Předpokládaná délka realizační fáze projektu: </t>
    </r>
    <r>
      <rPr>
        <b/>
        <sz val="11"/>
        <color theme="1"/>
        <rFont val="Calibri"/>
        <family val="2"/>
        <charset val="238"/>
        <scheme val="minor"/>
      </rPr>
      <t>9 měsíců</t>
    </r>
    <r>
      <rPr>
        <sz val="11"/>
        <color theme="1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</si>
</sst>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7" formatCode="#,##0.00\ &quot;Kč&quot;;\-#,##0.00\ &quot;Kč&quot;"/>
    <numFmt numFmtId="8" formatCode="#,##0.00\ &quot;Kč&quot;;[Red]\-#,##0.00\ &quot;Kč&quot;"/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#,##0.0"/>
    <numFmt numFmtId="167" formatCode="&quot;$&quot;#,##0_);[Red]\(&quot;$&quot;#,##0\)"/>
    <numFmt numFmtId="168" formatCode="#,##0_ ;\-#,##0\ "/>
    <numFmt numFmtId="169" formatCode="_-&quot;Ł&quot;* #,##0_-;\-&quot;Ł&quot;* #,##0_-;_-&quot;Ł&quot;* &quot;-&quot;_-;_-@_-"/>
    <numFmt numFmtId="170" formatCode="_-&quot;Ł&quot;* #,##0.00_-;\-&quot;Ł&quot;* #,##0.00_-;_-&quot;Ł&quot;* &quot;-&quot;??_-;_-@_-"/>
    <numFmt numFmtId="171" formatCode="_-* #,##0.0\ _K_č_-;\-* #,##0.0\ _K_č_-;_-* &quot;-&quot;??\ _K_č_-;_-@_-"/>
    <numFmt numFmtId="172" formatCode="_-* #,##0.0\ _K_č_-;\-* #,##0.0\ _K_č_-;_-* &quot;-&quot;?\ _K_č_-;_-@_-"/>
    <numFmt numFmtId="173" formatCode="_-* #,##0.00\ [$Kč-405]_-;\-* #,##0.00\ [$Kč-405]_-;_-* &quot;-&quot;??\ [$Kč-405]_-;_-@_-"/>
    <numFmt numFmtId="174" formatCode="_-* #,##0.0\ &quot;Kč&quot;_-;\-* #,##0.0\ &quot;Kč&quot;_-;_-* &quot;-&quot;??\ &quot;Kč&quot;_-;_-@_-"/>
    <numFmt numFmtId="175" formatCode="_-* #,##0\ &quot;Kč&quot;_-;\-* #,##0\ &quot;Kč&quot;_-;_-* &quot;-&quot;?\ &quot;Kč&quot;_-;_-@_-"/>
    <numFmt numFmtId="176" formatCode="#,##0.000"/>
    <numFmt numFmtId="177" formatCode="#,##0.0000"/>
    <numFmt numFmtId="178" formatCode="0.0%"/>
    <numFmt numFmtId="179" formatCode="0.000"/>
    <numFmt numFmtId="180" formatCode="0.0000"/>
    <numFmt numFmtId="181" formatCode="d\.m\.yyyy;@"/>
    <numFmt numFmtId="182" formatCode="dd\.m\.yyyy;@"/>
    <numFmt numFmtId="183" formatCode="###0;###0"/>
    <numFmt numFmtId="184" formatCode="dd\.mm\.yyyy;@"/>
    <numFmt numFmtId="185" formatCode="0.00000"/>
    <numFmt numFmtId="186" formatCode="#,##0.00_ ;\-#,##0.00\ "/>
    <numFmt numFmtId="187" formatCode="_-* #,##0.00\ [$€-1]_-;\-* #,##0.00\ [$€-1]_-;_-* &quot;-&quot;??\ [$€-1]_-;_-@_-"/>
  </numFmts>
  <fonts count="9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u/>
      <sz val="10"/>
      <color indexed="36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sz val="27"/>
      <color theme="1" tint="0.24994659260841701"/>
      <name val="Calibri"/>
      <family val="2"/>
      <scheme val="minor"/>
    </font>
    <font>
      <sz val="12"/>
      <color indexed="63"/>
      <name val="Century Gothic"/>
      <family val="2"/>
    </font>
    <font>
      <sz val="11"/>
      <color indexed="8"/>
      <name val="Century Gothic"/>
      <family val="2"/>
    </font>
    <font>
      <sz val="11"/>
      <color indexed="9"/>
      <name val="Century Gothic"/>
      <family val="2"/>
    </font>
    <font>
      <sz val="66"/>
      <color indexed="63"/>
      <name val="Century Gothic"/>
      <family val="2"/>
    </font>
    <font>
      <sz val="10"/>
      <name val="Helv"/>
      <charset val="238"/>
    </font>
    <font>
      <sz val="8"/>
      <name val="Arial Narrow"/>
      <family val="2"/>
      <charset val="238"/>
    </font>
    <font>
      <sz val="12"/>
      <name val="System"/>
      <family val="2"/>
      <charset val="238"/>
    </font>
    <font>
      <sz val="18"/>
      <name val="System"/>
      <family val="2"/>
      <charset val="238"/>
    </font>
    <font>
      <sz val="8"/>
      <name val="System"/>
      <family val="2"/>
      <charset val="238"/>
    </font>
    <font>
      <i/>
      <sz val="12"/>
      <name val="System"/>
      <family val="2"/>
      <charset val="238"/>
    </font>
    <font>
      <b/>
      <sz val="12"/>
      <name val="System"/>
      <family val="2"/>
      <charset val="238"/>
    </font>
    <font>
      <sz val="10"/>
      <name val="MS Sans Serif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2"/>
      <color rgb="FF0033CC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sz val="8.8000000000000007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8.8000000000000007"/>
      <color theme="1"/>
      <name val="Calibri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Symbol"/>
      <family val="1"/>
      <charset val="2"/>
    </font>
    <font>
      <i/>
      <sz val="1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b/>
      <sz val="12"/>
      <color rgb="FF0000FF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vertAlign val="subscript"/>
      <sz val="11"/>
      <color rgb="FFC00000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  <font>
      <sz val="12"/>
      <color rgb="FFC0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sz val="18"/>
      <color rgb="FFC00000"/>
      <name val="Calibri"/>
      <family val="2"/>
      <charset val="238"/>
      <scheme val="minor"/>
    </font>
    <font>
      <sz val="11"/>
      <color theme="1"/>
      <name val="Calibri"/>
      <family val="1"/>
      <charset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theme="2"/>
      </patternFill>
    </fill>
    <fill>
      <patternFill patternType="solid">
        <fgColor theme="2"/>
        <bgColor theme="2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3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theme="2" tint="-0.499984740745262"/>
        <bgColor indexed="64"/>
      </patternFill>
    </fill>
  </fills>
  <borders count="2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FF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rgb="FFFF0000"/>
      </right>
      <top style="medium">
        <color theme="1"/>
      </top>
      <bottom style="medium">
        <color theme="1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FF0000"/>
      </left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/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/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rgb="FFFF0000"/>
      </right>
      <top style="thin">
        <color rgb="FFFF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medium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/>
      <diagonal/>
    </border>
    <border>
      <left style="thick">
        <color rgb="FFFF0000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medium">
        <color indexed="64"/>
      </right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/>
      <top style="medium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rgb="FFFF0000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/>
      <right style="medium">
        <color indexed="64"/>
      </right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FF0000"/>
      </right>
      <top style="medium">
        <color indexed="64"/>
      </top>
      <bottom/>
      <diagonal/>
    </border>
    <border>
      <left/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 style="medium">
        <color indexed="64"/>
      </right>
      <top style="medium">
        <color rgb="FFFF0000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rgb="FFFF0000"/>
      </left>
      <right style="medium">
        <color indexed="64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medium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thick">
        <color theme="1"/>
      </bottom>
      <diagonal/>
    </border>
    <border>
      <left style="medium">
        <color rgb="FFFF0000"/>
      </left>
      <right/>
      <top style="medium">
        <color rgb="FFFF0000"/>
      </top>
      <bottom style="medium">
        <color theme="1"/>
      </bottom>
      <diagonal/>
    </border>
    <border>
      <left/>
      <right style="medium">
        <color rgb="FFFF0000"/>
      </right>
      <top style="medium">
        <color rgb="FFFF0000"/>
      </top>
      <bottom style="medium">
        <color theme="1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medium">
        <color indexed="64"/>
      </bottom>
      <diagonal/>
    </border>
    <border>
      <left style="medium">
        <color indexed="64"/>
      </left>
      <right style="medium">
        <color rgb="FFFF0000"/>
      </right>
      <top style="medium">
        <color rgb="FFFF0000"/>
      </top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medium">
        <color indexed="64"/>
      </left>
      <right style="medium">
        <color rgb="FFFF0000"/>
      </right>
      <top style="medium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FF0000"/>
      </bottom>
      <diagonal/>
    </border>
    <border>
      <left/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ck">
        <color rgb="FFFF0000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medium">
        <color indexed="64"/>
      </right>
      <top/>
      <bottom/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thin">
        <color auto="1"/>
      </left>
      <right style="medium">
        <color theme="1"/>
      </right>
      <top/>
      <bottom style="medium">
        <color theme="1"/>
      </bottom>
      <diagonal/>
    </border>
  </borders>
  <cellStyleXfs count="48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0" fontId="2" fillId="0" borderId="0"/>
    <xf numFmtId="0" fontId="9" fillId="8" borderId="0" applyNumberFormat="0" applyBorder="0" applyAlignment="0" applyProtection="0">
      <alignment horizontal="right" indent="1"/>
    </xf>
    <xf numFmtId="0" fontId="10" fillId="9" borderId="0">
      <alignment vertical="center"/>
    </xf>
    <xf numFmtId="0" fontId="11" fillId="10" borderId="0" applyNumberFormat="0" applyBorder="0" applyAlignment="0" applyProtection="0"/>
    <xf numFmtId="0" fontId="12" fillId="11" borderId="0">
      <alignment vertical="center"/>
    </xf>
    <xf numFmtId="167" fontId="13" fillId="0" borderId="0" applyFont="0" applyFill="0" applyBorder="0" applyAlignment="0" applyProtection="0"/>
    <xf numFmtId="0" fontId="14" fillId="12" borderId="0" applyNumberFormat="0" applyBorder="0" applyAlignment="0" applyProtection="0">
      <alignment horizontal="right" indent="1"/>
    </xf>
    <xf numFmtId="0" fontId="15" fillId="13" borderId="0" applyNumberFormat="0" applyBorder="0" applyAlignment="0" applyProtection="0"/>
    <xf numFmtId="0" fontId="1" fillId="0" borderId="0"/>
    <xf numFmtId="0" fontId="16" fillId="0" borderId="0"/>
    <xf numFmtId="0" fontId="16" fillId="0" borderId="0"/>
    <xf numFmtId="42" fontId="1" fillId="0" borderId="0" applyFont="0" applyFill="0" applyBorder="0" applyAlignment="0" applyProtection="0"/>
    <xf numFmtId="168" fontId="17" fillId="13" borderId="15" applyBorder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9" fillId="0" borderId="0" applyProtection="0"/>
    <xf numFmtId="0" fontId="20" fillId="0" borderId="0" applyProtection="0"/>
    <xf numFmtId="0" fontId="21" fillId="0" borderId="0" applyProtection="0"/>
    <xf numFmtId="0" fontId="18" fillId="0" borderId="0" applyProtection="0"/>
    <xf numFmtId="0" fontId="19" fillId="0" borderId="0" applyProtection="0"/>
    <xf numFmtId="0" fontId="20" fillId="0" borderId="0" applyProtection="0"/>
    <xf numFmtId="0" fontId="21" fillId="0" borderId="0" applyProtection="0"/>
    <xf numFmtId="2" fontId="18" fillId="0" borderId="0" applyProtection="0"/>
    <xf numFmtId="0" fontId="18" fillId="0" borderId="0" applyNumberFormat="0" applyFont="0" applyFill="0" applyBorder="0" applyAlignment="0" applyProtection="0"/>
    <xf numFmtId="0" fontId="22" fillId="0" borderId="0" applyProtection="0"/>
    <xf numFmtId="0" fontId="1" fillId="0" borderId="0"/>
    <xf numFmtId="0" fontId="16" fillId="0" borderId="0"/>
    <xf numFmtId="0" fontId="18" fillId="0" borderId="12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23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0" fontId="26" fillId="0" borderId="0" xfId="0" applyFont="1"/>
    <xf numFmtId="3" fontId="0" fillId="16" borderId="0" xfId="0" applyNumberFormat="1" applyFill="1"/>
    <xf numFmtId="3" fontId="0" fillId="6" borderId="0" xfId="0" applyNumberFormat="1" applyFill="1"/>
    <xf numFmtId="0" fontId="4" fillId="0" borderId="0" xfId="0" applyFont="1"/>
    <xf numFmtId="166" fontId="0" fillId="0" borderId="3" xfId="0" applyNumberFormat="1" applyBorder="1" applyAlignment="1">
      <alignment wrapText="1"/>
    </xf>
    <xf numFmtId="166" fontId="4" fillId="3" borderId="7" xfId="0" applyNumberFormat="1" applyFont="1" applyFill="1" applyBorder="1" applyAlignment="1">
      <alignment wrapText="1"/>
    </xf>
    <xf numFmtId="172" fontId="0" fillId="0" borderId="0" xfId="0" applyNumberFormat="1"/>
    <xf numFmtId="166" fontId="0" fillId="0" borderId="24" xfId="0" applyNumberFormat="1" applyBorder="1" applyAlignment="1">
      <alignment wrapText="1"/>
    </xf>
    <xf numFmtId="166" fontId="0" fillId="0" borderId="7" xfId="0" applyNumberFormat="1" applyBorder="1" applyAlignment="1">
      <alignment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5" fontId="4" fillId="0" borderId="0" xfId="0" applyNumberFormat="1" applyFont="1"/>
    <xf numFmtId="165" fontId="4" fillId="0" borderId="0" xfId="46" applyNumberFormat="1" applyFont="1"/>
    <xf numFmtId="165" fontId="27" fillId="0" borderId="0" xfId="46" applyNumberFormat="1" applyFont="1"/>
    <xf numFmtId="166" fontId="0" fillId="0" borderId="25" xfId="0" applyNumberFormat="1" applyBorder="1" applyAlignment="1">
      <alignment wrapText="1"/>
    </xf>
    <xf numFmtId="0" fontId="0" fillId="0" borderId="52" xfId="0" applyBorder="1"/>
    <xf numFmtId="0" fontId="24" fillId="0" borderId="0" xfId="0" applyFont="1"/>
    <xf numFmtId="0" fontId="4" fillId="6" borderId="20" xfId="0" applyFont="1" applyFill="1" applyBorder="1" applyAlignment="1">
      <alignment horizontal="center"/>
    </xf>
    <xf numFmtId="166" fontId="0" fillId="0" borderId="44" xfId="0" applyNumberFormat="1" applyBorder="1" applyAlignment="1">
      <alignment wrapText="1"/>
    </xf>
    <xf numFmtId="0" fontId="4" fillId="14" borderId="43" xfId="0" applyFont="1" applyFill="1" applyBorder="1" applyAlignment="1">
      <alignment horizontal="center"/>
    </xf>
    <xf numFmtId="166" fontId="4" fillId="3" borderId="7" xfId="0" applyNumberFormat="1" applyFont="1" applyFill="1" applyBorder="1" applyAlignment="1">
      <alignment horizontal="center"/>
    </xf>
    <xf numFmtId="166" fontId="0" fillId="0" borderId="44" xfId="0" applyNumberFormat="1" applyBorder="1" applyAlignment="1">
      <alignment horizontal="center" wrapText="1"/>
    </xf>
    <xf numFmtId="3" fontId="0" fillId="0" borderId="52" xfId="0" applyNumberFormat="1" applyBorder="1"/>
    <xf numFmtId="0" fontId="4" fillId="16" borderId="43" xfId="0" applyFont="1" applyFill="1" applyBorder="1" applyAlignment="1">
      <alignment horizontal="center"/>
    </xf>
    <xf numFmtId="166" fontId="4" fillId="3" borderId="13" xfId="0" applyNumberFormat="1" applyFont="1" applyFill="1" applyBorder="1" applyAlignment="1">
      <alignment wrapText="1"/>
    </xf>
    <xf numFmtId="166" fontId="0" fillId="0" borderId="55" xfId="0" applyNumberFormat="1" applyBorder="1" applyAlignment="1">
      <alignment wrapText="1"/>
    </xf>
    <xf numFmtId="166" fontId="0" fillId="0" borderId="52" xfId="0" applyNumberFormat="1" applyBorder="1" applyAlignment="1">
      <alignment wrapText="1"/>
    </xf>
    <xf numFmtId="0" fontId="4" fillId="6" borderId="19" xfId="0" applyFont="1" applyFill="1" applyBorder="1" applyAlignment="1">
      <alignment horizontal="center"/>
    </xf>
    <xf numFmtId="3" fontId="8" fillId="6" borderId="42" xfId="0" applyNumberFormat="1" applyFont="1" applyFill="1" applyBorder="1" applyAlignment="1">
      <alignment horizontal="center"/>
    </xf>
    <xf numFmtId="166" fontId="8" fillId="4" borderId="17" xfId="0" applyNumberFormat="1" applyFont="1" applyFill="1" applyBorder="1" applyAlignment="1">
      <alignment horizontal="center"/>
    </xf>
    <xf numFmtId="166" fontId="8" fillId="4" borderId="7" xfId="0" applyNumberFormat="1" applyFont="1" applyFill="1" applyBorder="1" applyAlignment="1">
      <alignment horizontal="center"/>
    </xf>
    <xf numFmtId="166" fontId="4" fillId="14" borderId="7" xfId="0" applyNumberFormat="1" applyFont="1" applyFill="1" applyBorder="1" applyAlignment="1">
      <alignment horizontal="center"/>
    </xf>
    <xf numFmtId="166" fontId="8" fillId="4" borderId="16" xfId="0" applyNumberFormat="1" applyFont="1" applyFill="1" applyBorder="1" applyAlignment="1">
      <alignment horizontal="center"/>
    </xf>
    <xf numFmtId="0" fontId="31" fillId="0" borderId="0" xfId="0" applyFont="1"/>
    <xf numFmtId="0" fontId="34" fillId="0" borderId="0" xfId="0" applyFont="1"/>
    <xf numFmtId="166" fontId="0" fillId="0" borderId="38" xfId="0" applyNumberFormat="1" applyBorder="1" applyAlignment="1">
      <alignment horizontal="center" vertical="center"/>
    </xf>
    <xf numFmtId="0" fontId="28" fillId="0" borderId="0" xfId="0" applyFont="1"/>
    <xf numFmtId="0" fontId="30" fillId="0" borderId="0" xfId="0" applyFont="1"/>
    <xf numFmtId="166" fontId="34" fillId="0" borderId="0" xfId="0" applyNumberFormat="1" applyFont="1"/>
    <xf numFmtId="4" fontId="0" fillId="0" borderId="45" xfId="0" applyNumberFormat="1" applyBorder="1" applyAlignment="1">
      <alignment horizontal="center"/>
    </xf>
    <xf numFmtId="166" fontId="4" fillId="0" borderId="0" xfId="0" applyNumberFormat="1" applyFont="1"/>
    <xf numFmtId="4" fontId="0" fillId="0" borderId="0" xfId="0" applyNumberFormat="1"/>
    <xf numFmtId="0" fontId="4" fillId="3" borderId="7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166" fontId="0" fillId="0" borderId="54" xfId="0" applyNumberFormat="1" applyBorder="1" applyAlignment="1">
      <alignment horizontal="left" wrapText="1"/>
    </xf>
    <xf numFmtId="166" fontId="31" fillId="0" borderId="51" xfId="0" applyNumberFormat="1" applyFont="1" applyBorder="1" applyAlignment="1">
      <alignment horizontal="center"/>
    </xf>
    <xf numFmtId="166" fontId="0" fillId="0" borderId="68" xfId="0" applyNumberFormat="1" applyBorder="1" applyAlignment="1">
      <alignment horizontal="center"/>
    </xf>
    <xf numFmtId="166" fontId="4" fillId="14" borderId="60" xfId="0" applyNumberFormat="1" applyFont="1" applyFill="1" applyBorder="1" applyAlignment="1">
      <alignment horizontal="center"/>
    </xf>
    <xf numFmtId="166" fontId="0" fillId="0" borderId="60" xfId="0" applyNumberFormat="1" applyBorder="1"/>
    <xf numFmtId="166" fontId="0" fillId="4" borderId="46" xfId="0" applyNumberFormat="1" applyFill="1" applyBorder="1"/>
    <xf numFmtId="166" fontId="4" fillId="3" borderId="60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60" xfId="0" applyBorder="1"/>
    <xf numFmtId="0" fontId="33" fillId="0" borderId="0" xfId="0" applyFont="1"/>
    <xf numFmtId="171" fontId="33" fillId="0" borderId="0" xfId="0" applyNumberFormat="1" applyFont="1"/>
    <xf numFmtId="44" fontId="0" fillId="0" borderId="0" xfId="0" applyNumberFormat="1"/>
    <xf numFmtId="44" fontId="0" fillId="0" borderId="0" xfId="46" applyFont="1"/>
    <xf numFmtId="44" fontId="24" fillId="0" borderId="0" xfId="46" applyFont="1"/>
    <xf numFmtId="172" fontId="0" fillId="0" borderId="0" xfId="0" applyNumberFormat="1" applyAlignment="1">
      <alignment horizontal="center"/>
    </xf>
    <xf numFmtId="44" fontId="4" fillId="2" borderId="7" xfId="0" applyNumberFormat="1" applyFont="1" applyFill="1" applyBorder="1"/>
    <xf numFmtId="173" fontId="0" fillId="0" borderId="0" xfId="0" applyNumberFormat="1"/>
    <xf numFmtId="3" fontId="29" fillId="6" borderId="22" xfId="0" applyNumberFormat="1" applyFont="1" applyFill="1" applyBorder="1" applyAlignment="1">
      <alignment horizontal="center"/>
    </xf>
    <xf numFmtId="3" fontId="29" fillId="6" borderId="8" xfId="0" applyNumberFormat="1" applyFont="1" applyFill="1" applyBorder="1" applyAlignment="1">
      <alignment horizontal="center"/>
    </xf>
    <xf numFmtId="3" fontId="8" fillId="6" borderId="64" xfId="0" applyNumberFormat="1" applyFont="1" applyFill="1" applyBorder="1" applyAlignment="1">
      <alignment horizontal="center"/>
    </xf>
    <xf numFmtId="49" fontId="35" fillId="16" borderId="51" xfId="0" applyNumberFormat="1" applyFont="1" applyFill="1" applyBorder="1" applyAlignment="1">
      <alignment horizontal="center"/>
    </xf>
    <xf numFmtId="44" fontId="4" fillId="0" borderId="0" xfId="46" applyFont="1"/>
    <xf numFmtId="44" fontId="4" fillId="0" borderId="0" xfId="0" applyNumberFormat="1" applyFont="1"/>
    <xf numFmtId="166" fontId="0" fillId="0" borderId="13" xfId="0" applyNumberFormat="1" applyBorder="1" applyAlignment="1">
      <alignment wrapText="1"/>
    </xf>
    <xf numFmtId="166" fontId="0" fillId="0" borderId="7" xfId="0" applyNumberFormat="1" applyBorder="1"/>
    <xf numFmtId="166" fontId="0" fillId="4" borderId="44" xfId="0" applyNumberFormat="1" applyFill="1" applyBorder="1"/>
    <xf numFmtId="49" fontId="0" fillId="4" borderId="38" xfId="0" applyNumberFormat="1" applyFill="1" applyBorder="1" applyAlignment="1">
      <alignment horizontal="center"/>
    </xf>
    <xf numFmtId="49" fontId="4" fillId="5" borderId="53" xfId="0" applyNumberFormat="1" applyFont="1" applyFill="1" applyBorder="1" applyAlignment="1">
      <alignment horizontal="center"/>
    </xf>
    <xf numFmtId="44" fontId="24" fillId="4" borderId="5" xfId="46" applyFont="1" applyFill="1" applyBorder="1"/>
    <xf numFmtId="44" fontId="24" fillId="0" borderId="38" xfId="0" applyNumberFormat="1" applyFont="1" applyBorder="1"/>
    <xf numFmtId="3" fontId="24" fillId="0" borderId="0" xfId="0" applyNumberFormat="1" applyFont="1"/>
    <xf numFmtId="44" fontId="26" fillId="0" borderId="0" xfId="0" applyNumberFormat="1" applyFont="1"/>
    <xf numFmtId="44" fontId="4" fillId="4" borderId="0" xfId="0" applyNumberFormat="1" applyFont="1" applyFill="1"/>
    <xf numFmtId="44" fontId="4" fillId="2" borderId="7" xfId="46" applyFont="1" applyFill="1" applyBorder="1"/>
    <xf numFmtId="0" fontId="4" fillId="19" borderId="0" xfId="0" applyFont="1" applyFill="1" applyAlignment="1">
      <alignment horizontal="center"/>
    </xf>
    <xf numFmtId="0" fontId="4" fillId="6" borderId="67" xfId="0" applyFont="1" applyFill="1" applyBorder="1" applyAlignment="1">
      <alignment horizontal="center"/>
    </xf>
    <xf numFmtId="0" fontId="0" fillId="0" borderId="14" xfId="0" applyBorder="1"/>
    <xf numFmtId="175" fontId="0" fillId="0" borderId="0" xfId="0" applyNumberFormat="1"/>
    <xf numFmtId="174" fontId="0" fillId="0" borderId="0" xfId="46" applyNumberFormat="1" applyFont="1"/>
    <xf numFmtId="4" fontId="4" fillId="16" borderId="7" xfId="9" applyNumberFormat="1" applyFont="1" applyFill="1" applyBorder="1" applyAlignment="1"/>
    <xf numFmtId="4" fontId="4" fillId="6" borderId="16" xfId="0" applyNumberFormat="1" applyFont="1" applyFill="1" applyBorder="1"/>
    <xf numFmtId="4" fontId="4" fillId="6" borderId="17" xfId="0" applyNumberFormat="1" applyFont="1" applyFill="1" applyBorder="1"/>
    <xf numFmtId="4" fontId="0" fillId="16" borderId="51" xfId="9" applyNumberFormat="1" applyFont="1" applyFill="1" applyBorder="1" applyAlignment="1"/>
    <xf numFmtId="4" fontId="0" fillId="16" borderId="51" xfId="0" applyNumberFormat="1" applyFill="1" applyBorder="1"/>
    <xf numFmtId="4" fontId="0" fillId="6" borderId="22" xfId="0" applyNumberFormat="1" applyFill="1" applyBorder="1"/>
    <xf numFmtId="4" fontId="0" fillId="16" borderId="38" xfId="0" applyNumberFormat="1" applyFill="1" applyBorder="1" applyAlignment="1">
      <alignment vertical="center"/>
    </xf>
    <xf numFmtId="4" fontId="0" fillId="6" borderId="4" xfId="0" applyNumberFormat="1" applyFill="1" applyBorder="1" applyAlignment="1">
      <alignment vertical="center"/>
    </xf>
    <xf numFmtId="4" fontId="4" fillId="16" borderId="7" xfId="0" applyNumberFormat="1" applyFont="1" applyFill="1" applyBorder="1"/>
    <xf numFmtId="4" fontId="0" fillId="4" borderId="45" xfId="0" applyNumberFormat="1" applyFill="1" applyBorder="1"/>
    <xf numFmtId="4" fontId="0" fillId="4" borderId="34" xfId="0" applyNumberFormat="1" applyFill="1" applyBorder="1"/>
    <xf numFmtId="4" fontId="0" fillId="4" borderId="6" xfId="0" applyNumberFormat="1" applyFill="1" applyBorder="1"/>
    <xf numFmtId="4" fontId="25" fillId="16" borderId="7" xfId="0" applyNumberFormat="1" applyFont="1" applyFill="1" applyBorder="1"/>
    <xf numFmtId="4" fontId="4" fillId="16" borderId="38" xfId="0" applyNumberFormat="1" applyFont="1" applyFill="1" applyBorder="1"/>
    <xf numFmtId="4" fontId="4" fillId="6" borderId="4" xfId="0" applyNumberFormat="1" applyFont="1" applyFill="1" applyBorder="1"/>
    <xf numFmtId="4" fontId="0" fillId="16" borderId="38" xfId="0" applyNumberFormat="1" applyFill="1" applyBorder="1"/>
    <xf numFmtId="4" fontId="0" fillId="6" borderId="4" xfId="0" applyNumberFormat="1" applyFill="1" applyBorder="1"/>
    <xf numFmtId="4" fontId="0" fillId="6" borderId="5" xfId="0" applyNumberFormat="1" applyFill="1" applyBorder="1"/>
    <xf numFmtId="4" fontId="0" fillId="16" borderId="45" xfId="0" applyNumberFormat="1" applyFill="1" applyBorder="1"/>
    <xf numFmtId="4" fontId="0" fillId="6" borderId="34" xfId="0" applyNumberFormat="1" applyFill="1" applyBorder="1"/>
    <xf numFmtId="4" fontId="0" fillId="6" borderId="6" xfId="0" applyNumberFormat="1" applyFill="1" applyBorder="1"/>
    <xf numFmtId="4" fontId="25" fillId="6" borderId="16" xfId="0" applyNumberFormat="1" applyFont="1" applyFill="1" applyBorder="1"/>
    <xf numFmtId="4" fontId="0" fillId="0" borderId="44" xfId="0" applyNumberFormat="1" applyBorder="1"/>
    <xf numFmtId="4" fontId="25" fillId="16" borderId="7" xfId="0" applyNumberFormat="1" applyFont="1" applyFill="1" applyBorder="1" applyAlignment="1">
      <alignment vertical="center"/>
    </xf>
    <xf numFmtId="4" fontId="25" fillId="6" borderId="16" xfId="0" applyNumberFormat="1" applyFont="1" applyFill="1" applyBorder="1" applyAlignment="1">
      <alignment vertical="center"/>
    </xf>
    <xf numFmtId="4" fontId="25" fillId="6" borderId="17" xfId="0" applyNumberFormat="1" applyFont="1" applyFill="1" applyBorder="1" applyAlignment="1">
      <alignment vertical="center"/>
    </xf>
    <xf numFmtId="4" fontId="0" fillId="0" borderId="44" xfId="0" applyNumberFormat="1" applyBorder="1" applyAlignment="1">
      <alignment wrapText="1"/>
    </xf>
    <xf numFmtId="4" fontId="0" fillId="0" borderId="24" xfId="0" applyNumberFormat="1" applyBorder="1" applyAlignment="1">
      <alignment wrapText="1"/>
    </xf>
    <xf numFmtId="4" fontId="25" fillId="16" borderId="38" xfId="0" applyNumberFormat="1" applyFont="1" applyFill="1" applyBorder="1"/>
    <xf numFmtId="4" fontId="4" fillId="7" borderId="17" xfId="0" applyNumberFormat="1" applyFont="1" applyFill="1" applyBorder="1"/>
    <xf numFmtId="4" fontId="4" fillId="7" borderId="60" xfId="0" applyNumberFormat="1" applyFont="1" applyFill="1" applyBorder="1"/>
    <xf numFmtId="4" fontId="24" fillId="16" borderId="51" xfId="0" applyNumberFormat="1" applyFont="1" applyFill="1" applyBorder="1"/>
    <xf numFmtId="4" fontId="4" fillId="7" borderId="16" xfId="0" applyNumberFormat="1" applyFont="1" applyFill="1" applyBorder="1"/>
    <xf numFmtId="4" fontId="0" fillId="7" borderId="22" xfId="0" applyNumberFormat="1" applyFill="1" applyBorder="1"/>
    <xf numFmtId="4" fontId="0" fillId="7" borderId="8" xfId="0" applyNumberFormat="1" applyFill="1" applyBorder="1"/>
    <xf numFmtId="4" fontId="0" fillId="0" borderId="44" xfId="0" applyNumberFormat="1" applyBorder="1" applyAlignment="1">
      <alignment horizontal="center"/>
    </xf>
    <xf numFmtId="44" fontId="27" fillId="0" borderId="0" xfId="46" applyFont="1" applyBorder="1"/>
    <xf numFmtId="44" fontId="27" fillId="0" borderId="0" xfId="46" applyFont="1"/>
    <xf numFmtId="4" fontId="8" fillId="4" borderId="20" xfId="0" applyNumberFormat="1" applyFont="1" applyFill="1" applyBorder="1" applyAlignment="1">
      <alignment horizontal="center"/>
    </xf>
    <xf numFmtId="166" fontId="4" fillId="3" borderId="7" xfId="0" applyNumberFormat="1" applyFont="1" applyFill="1" applyBorder="1" applyAlignment="1">
      <alignment horizontal="center" vertical="center"/>
    </xf>
    <xf numFmtId="4" fontId="4" fillId="16" borderId="7" xfId="0" applyNumberFormat="1" applyFont="1" applyFill="1" applyBorder="1" applyAlignment="1">
      <alignment vertical="center"/>
    </xf>
    <xf numFmtId="4" fontId="4" fillId="6" borderId="16" xfId="0" applyNumberFormat="1" applyFont="1" applyFill="1" applyBorder="1" applyAlignment="1">
      <alignment vertical="center"/>
    </xf>
    <xf numFmtId="4" fontId="4" fillId="6" borderId="17" xfId="0" applyNumberFormat="1" applyFont="1" applyFill="1" applyBorder="1" applyAlignment="1">
      <alignment vertical="center"/>
    </xf>
    <xf numFmtId="166" fontId="25" fillId="3" borderId="7" xfId="0" applyNumberFormat="1" applyFont="1" applyFill="1" applyBorder="1" applyAlignment="1">
      <alignment horizontal="center" vertical="center" wrapText="1"/>
    </xf>
    <xf numFmtId="9" fontId="0" fillId="0" borderId="0" xfId="47" applyFont="1"/>
    <xf numFmtId="0" fontId="4" fillId="2" borderId="15" xfId="0" applyFont="1" applyFill="1" applyBorder="1"/>
    <xf numFmtId="44" fontId="4" fillId="6" borderId="7" xfId="46" applyFont="1" applyFill="1" applyBorder="1"/>
    <xf numFmtId="44" fontId="4" fillId="6" borderId="60" xfId="46" applyFont="1" applyFill="1" applyBorder="1"/>
    <xf numFmtId="171" fontId="27" fillId="0" borderId="0" xfId="0" applyNumberFormat="1" applyFont="1" applyAlignment="1">
      <alignment horizontal="left"/>
    </xf>
    <xf numFmtId="4" fontId="8" fillId="4" borderId="19" xfId="0" applyNumberFormat="1" applyFont="1" applyFill="1" applyBorder="1" applyAlignment="1">
      <alignment horizontal="center"/>
    </xf>
    <xf numFmtId="0" fontId="4" fillId="15" borderId="0" xfId="0" applyFont="1" applyFill="1"/>
    <xf numFmtId="171" fontId="27" fillId="0" borderId="0" xfId="0" applyNumberFormat="1" applyFont="1"/>
    <xf numFmtId="0" fontId="0" fillId="0" borderId="2" xfId="0" applyBorder="1" applyAlignment="1">
      <alignment horizontal="center"/>
    </xf>
    <xf numFmtId="4" fontId="4" fillId="4" borderId="44" xfId="0" applyNumberFormat="1" applyFont="1" applyFill="1" applyBorder="1"/>
    <xf numFmtId="4" fontId="4" fillId="4" borderId="0" xfId="0" applyNumberFormat="1" applyFont="1" applyFill="1"/>
    <xf numFmtId="4" fontId="0" fillId="0" borderId="58" xfId="0" applyNumberFormat="1" applyBorder="1"/>
    <xf numFmtId="3" fontId="29" fillId="6" borderId="23" xfId="0" applyNumberFormat="1" applyFont="1" applyFill="1" applyBorder="1" applyAlignment="1">
      <alignment horizontal="center"/>
    </xf>
    <xf numFmtId="3" fontId="4" fillId="0" borderId="0" xfId="0" applyNumberFormat="1" applyFont="1"/>
    <xf numFmtId="4" fontId="4" fillId="0" borderId="0" xfId="0" applyNumberFormat="1" applyFont="1"/>
    <xf numFmtId="166" fontId="4" fillId="4" borderId="62" xfId="0" applyNumberFormat="1" applyFont="1" applyFill="1" applyBorder="1" applyAlignment="1">
      <alignment horizontal="center"/>
    </xf>
    <xf numFmtId="166" fontId="0" fillId="4" borderId="37" xfId="0" applyNumberFormat="1" applyFill="1" applyBorder="1" applyAlignment="1">
      <alignment wrapText="1"/>
    </xf>
    <xf numFmtId="4" fontId="0" fillId="7" borderId="28" xfId="0" applyNumberFormat="1" applyFill="1" applyBorder="1"/>
    <xf numFmtId="166" fontId="0" fillId="4" borderId="51" xfId="0" applyNumberFormat="1" applyFill="1" applyBorder="1" applyAlignment="1">
      <alignment wrapText="1"/>
    </xf>
    <xf numFmtId="166" fontId="4" fillId="4" borderId="68" xfId="0" applyNumberFormat="1" applyFont="1" applyFill="1" applyBorder="1" applyAlignment="1">
      <alignment horizontal="center"/>
    </xf>
    <xf numFmtId="166" fontId="8" fillId="4" borderId="18" xfId="0" applyNumberFormat="1" applyFont="1" applyFill="1" applyBorder="1" applyAlignment="1">
      <alignment horizontal="center"/>
    </xf>
    <xf numFmtId="4" fontId="4" fillId="7" borderId="18" xfId="0" applyNumberFormat="1" applyFont="1" applyFill="1" applyBorder="1"/>
    <xf numFmtId="4" fontId="0" fillId="7" borderId="29" xfId="0" applyNumberFormat="1" applyFill="1" applyBorder="1"/>
    <xf numFmtId="4" fontId="0" fillId="7" borderId="27" xfId="0" applyNumberFormat="1" applyFill="1" applyBorder="1"/>
    <xf numFmtId="4" fontId="0" fillId="16" borderId="37" xfId="0" applyNumberFormat="1" applyFill="1" applyBorder="1"/>
    <xf numFmtId="175" fontId="26" fillId="0" borderId="0" xfId="0" applyNumberFormat="1" applyFont="1"/>
    <xf numFmtId="166" fontId="0" fillId="4" borderId="73" xfId="0" applyNumberFormat="1" applyFill="1" applyBorder="1" applyAlignment="1">
      <alignment wrapText="1"/>
    </xf>
    <xf numFmtId="166" fontId="0" fillId="4" borderId="54" xfId="0" applyNumberFormat="1" applyFill="1" applyBorder="1" applyAlignment="1">
      <alignment wrapText="1"/>
    </xf>
    <xf numFmtId="166" fontId="0" fillId="4" borderId="49" xfId="0" applyNumberFormat="1" applyFill="1" applyBorder="1" applyAlignment="1">
      <alignment wrapText="1"/>
    </xf>
    <xf numFmtId="166" fontId="0" fillId="4" borderId="37" xfId="0" applyNumberFormat="1" applyFill="1" applyBorder="1" applyAlignment="1">
      <alignment horizontal="center"/>
    </xf>
    <xf numFmtId="166" fontId="0" fillId="4" borderId="38" xfId="0" applyNumberFormat="1" applyFill="1" applyBorder="1" applyAlignment="1">
      <alignment horizontal="center"/>
    </xf>
    <xf numFmtId="166" fontId="0" fillId="4" borderId="51" xfId="0" applyNumberFormat="1" applyFill="1" applyBorder="1" applyAlignment="1">
      <alignment horizontal="center" vertical="center"/>
    </xf>
    <xf numFmtId="4" fontId="0" fillId="7" borderId="22" xfId="0" applyNumberFormat="1" applyFill="1" applyBorder="1" applyAlignment="1">
      <alignment vertical="center"/>
    </xf>
    <xf numFmtId="4" fontId="0" fillId="7" borderId="8" xfId="0" applyNumberFormat="1" applyFill="1" applyBorder="1" applyAlignment="1">
      <alignment vertical="center"/>
    </xf>
    <xf numFmtId="4" fontId="0" fillId="7" borderId="23" xfId="0" applyNumberFormat="1" applyFill="1" applyBorder="1" applyAlignment="1">
      <alignment vertical="center"/>
    </xf>
    <xf numFmtId="4" fontId="0" fillId="16" borderId="26" xfId="0" applyNumberFormat="1" applyFill="1" applyBorder="1"/>
    <xf numFmtId="4" fontId="0" fillId="16" borderId="31" xfId="0" applyNumberFormat="1" applyFill="1" applyBorder="1"/>
    <xf numFmtId="4" fontId="0" fillId="16" borderId="47" xfId="0" applyNumberFormat="1" applyFill="1" applyBorder="1"/>
    <xf numFmtId="4" fontId="0" fillId="7" borderId="40" xfId="0" applyNumberFormat="1" applyFill="1" applyBorder="1"/>
    <xf numFmtId="4" fontId="0" fillId="7" borderId="72" xfId="0" applyNumberFormat="1" applyFill="1" applyBorder="1"/>
    <xf numFmtId="3" fontId="35" fillId="16" borderId="39" xfId="0" applyNumberFormat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5" fillId="3" borderId="16" xfId="0" applyFont="1" applyFill="1" applyBorder="1" applyAlignment="1">
      <alignment wrapText="1"/>
    </xf>
    <xf numFmtId="0" fontId="25" fillId="3" borderId="17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44" fontId="25" fillId="3" borderId="18" xfId="46" applyFont="1" applyFill="1" applyBorder="1"/>
    <xf numFmtId="0" fontId="25" fillId="5" borderId="70" xfId="0" applyFont="1" applyFill="1" applyBorder="1" applyAlignment="1">
      <alignment wrapText="1"/>
    </xf>
    <xf numFmtId="0" fontId="25" fillId="5" borderId="58" xfId="0" applyFont="1" applyFill="1" applyBorder="1" applyAlignment="1">
      <alignment horizontal="center"/>
    </xf>
    <xf numFmtId="44" fontId="25" fillId="5" borderId="61" xfId="46" applyFont="1" applyFill="1" applyBorder="1"/>
    <xf numFmtId="0" fontId="24" fillId="4" borderId="5" xfId="0" applyFont="1" applyFill="1" applyBorder="1" applyAlignment="1">
      <alignment horizontal="center"/>
    </xf>
    <xf numFmtId="44" fontId="24" fillId="4" borderId="32" xfId="46" applyFont="1" applyFill="1" applyBorder="1"/>
    <xf numFmtId="0" fontId="24" fillId="4" borderId="5" xfId="0" applyFont="1" applyFill="1" applyBorder="1" applyAlignment="1">
      <alignment horizontal="center" vertical="center"/>
    </xf>
    <xf numFmtId="49" fontId="0" fillId="4" borderId="38" xfId="0" applyNumberFormat="1" applyFill="1" applyBorder="1" applyAlignment="1">
      <alignment horizontal="center" vertical="center"/>
    </xf>
    <xf numFmtId="0" fontId="24" fillId="4" borderId="4" xfId="0" applyFont="1" applyFill="1" applyBorder="1" applyAlignment="1">
      <alignment wrapText="1"/>
    </xf>
    <xf numFmtId="0" fontId="24" fillId="0" borderId="38" xfId="0" applyFont="1" applyBorder="1" applyAlignment="1">
      <alignment horizontal="center"/>
    </xf>
    <xf numFmtId="0" fontId="24" fillId="4" borderId="8" xfId="0" applyFont="1" applyFill="1" applyBorder="1" applyAlignment="1">
      <alignment horizontal="center"/>
    </xf>
    <xf numFmtId="44" fontId="24" fillId="4" borderId="23" xfId="46" applyFont="1" applyFill="1" applyBorder="1"/>
    <xf numFmtId="49" fontId="4" fillId="25" borderId="7" xfId="0" applyNumberFormat="1" applyFont="1" applyFill="1" applyBorder="1" applyAlignment="1">
      <alignment horizontal="center"/>
    </xf>
    <xf numFmtId="0" fontId="25" fillId="25" borderId="16" xfId="0" applyFont="1" applyFill="1" applyBorder="1" applyAlignment="1">
      <alignment wrapText="1"/>
    </xf>
    <xf numFmtId="0" fontId="25" fillId="25" borderId="17" xfId="0" applyFont="1" applyFill="1" applyBorder="1" applyAlignment="1">
      <alignment horizontal="center"/>
    </xf>
    <xf numFmtId="44" fontId="25" fillId="25" borderId="17" xfId="46" applyFont="1" applyFill="1" applyBorder="1" applyAlignment="1">
      <alignment horizontal="center"/>
    </xf>
    <xf numFmtId="44" fontId="25" fillId="25" borderId="18" xfId="46" applyFont="1" applyFill="1" applyBorder="1"/>
    <xf numFmtId="0" fontId="25" fillId="24" borderId="15" xfId="0" applyFont="1" applyFill="1" applyBorder="1" applyAlignment="1">
      <alignment horizontal="center" wrapText="1"/>
    </xf>
    <xf numFmtId="0" fontId="25" fillId="24" borderId="16" xfId="0" applyFont="1" applyFill="1" applyBorder="1" applyAlignment="1">
      <alignment wrapText="1"/>
    </xf>
    <xf numFmtId="0" fontId="25" fillId="24" borderId="16" xfId="0" applyFont="1" applyFill="1" applyBorder="1" applyAlignment="1">
      <alignment horizontal="center" wrapText="1"/>
    </xf>
    <xf numFmtId="0" fontId="25" fillId="24" borderId="60" xfId="0" applyFont="1" applyFill="1" applyBorder="1" applyAlignment="1">
      <alignment horizontal="center" wrapText="1"/>
    </xf>
    <xf numFmtId="49" fontId="0" fillId="4" borderId="51" xfId="0" applyNumberForma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44" fontId="24" fillId="4" borderId="23" xfId="46" applyFont="1" applyFill="1" applyBorder="1" applyAlignment="1">
      <alignment vertical="center"/>
    </xf>
    <xf numFmtId="173" fontId="25" fillId="25" borderId="18" xfId="0" applyNumberFormat="1" applyFont="1" applyFill="1" applyBorder="1" applyAlignment="1">
      <alignment horizontal="center"/>
    </xf>
    <xf numFmtId="172" fontId="4" fillId="6" borderId="60" xfId="0" applyNumberFormat="1" applyFont="1" applyFill="1" applyBorder="1" applyAlignment="1">
      <alignment horizontal="center"/>
    </xf>
    <xf numFmtId="4" fontId="4" fillId="7" borderId="7" xfId="9" applyNumberFormat="1" applyFont="1" applyFill="1" applyBorder="1" applyAlignment="1"/>
    <xf numFmtId="0" fontId="4" fillId="5" borderId="0" xfId="0" applyFont="1" applyFill="1"/>
    <xf numFmtId="0" fontId="4" fillId="21" borderId="14" xfId="0" applyFont="1" applyFill="1" applyBorder="1" applyAlignment="1">
      <alignment horizontal="center"/>
    </xf>
    <xf numFmtId="44" fontId="4" fillId="16" borderId="7" xfId="46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44" fontId="24" fillId="16" borderId="38" xfId="46" applyFont="1" applyFill="1" applyBorder="1" applyAlignment="1">
      <alignment horizontal="center"/>
    </xf>
    <xf numFmtId="44" fontId="24" fillId="16" borderId="51" xfId="46" applyFont="1" applyFill="1" applyBorder="1"/>
    <xf numFmtId="44" fontId="4" fillId="16" borderId="7" xfId="46" applyFont="1" applyFill="1" applyBorder="1"/>
    <xf numFmtId="44" fontId="3" fillId="16" borderId="37" xfId="46" applyFont="1" applyFill="1" applyBorder="1"/>
    <xf numFmtId="164" fontId="25" fillId="25" borderId="17" xfId="0" applyNumberFormat="1" applyFont="1" applyFill="1" applyBorder="1" applyAlignment="1">
      <alignment horizontal="center"/>
    </xf>
    <xf numFmtId="49" fontId="4" fillId="24" borderId="7" xfId="0" applyNumberFormat="1" applyFont="1" applyFill="1" applyBorder="1" applyAlignment="1">
      <alignment horizontal="center"/>
    </xf>
    <xf numFmtId="0" fontId="25" fillId="24" borderId="17" xfId="0" applyFont="1" applyFill="1" applyBorder="1" applyAlignment="1">
      <alignment horizontal="center"/>
    </xf>
    <xf numFmtId="165" fontId="25" fillId="24" borderId="17" xfId="0" applyNumberFormat="1" applyFont="1" applyFill="1" applyBorder="1" applyAlignment="1">
      <alignment horizontal="center"/>
    </xf>
    <xf numFmtId="44" fontId="25" fillId="24" borderId="18" xfId="46" applyFont="1" applyFill="1" applyBorder="1"/>
    <xf numFmtId="49" fontId="0" fillId="4" borderId="51" xfId="0" applyNumberFormat="1" applyFill="1" applyBorder="1" applyAlignment="1">
      <alignment horizontal="center"/>
    </xf>
    <xf numFmtId="0" fontId="24" fillId="4" borderId="22" xfId="0" applyFont="1" applyFill="1" applyBorder="1" applyAlignment="1">
      <alignment wrapText="1"/>
    </xf>
    <xf numFmtId="44" fontId="24" fillId="4" borderId="8" xfId="46" applyFont="1" applyFill="1" applyBorder="1"/>
    <xf numFmtId="49" fontId="4" fillId="19" borderId="7" xfId="0" applyNumberFormat="1" applyFont="1" applyFill="1" applyBorder="1" applyAlignment="1">
      <alignment horizontal="center"/>
    </xf>
    <xf numFmtId="0" fontId="25" fillId="19" borderId="16" xfId="0" applyFont="1" applyFill="1" applyBorder="1" applyAlignment="1">
      <alignment wrapText="1"/>
    </xf>
    <xf numFmtId="0" fontId="25" fillId="19" borderId="17" xfId="0" applyFont="1" applyFill="1" applyBorder="1" applyAlignment="1">
      <alignment horizontal="center"/>
    </xf>
    <xf numFmtId="165" fontId="25" fillId="19" borderId="17" xfId="0" applyNumberFormat="1" applyFont="1" applyFill="1" applyBorder="1" applyAlignment="1">
      <alignment horizontal="center"/>
    </xf>
    <xf numFmtId="7" fontId="25" fillId="19" borderId="18" xfId="46" applyNumberFormat="1" applyFont="1" applyFill="1" applyBorder="1"/>
    <xf numFmtId="44" fontId="0" fillId="6" borderId="68" xfId="46" applyFont="1" applyFill="1" applyBorder="1"/>
    <xf numFmtId="44" fontId="0" fillId="6" borderId="63" xfId="46" applyFont="1" applyFill="1" applyBorder="1"/>
    <xf numFmtId="44" fontId="4" fillId="6" borderId="60" xfId="46" applyFont="1" applyFill="1" applyBorder="1" applyAlignment="1">
      <alignment horizontal="center"/>
    </xf>
    <xf numFmtId="44" fontId="24" fillId="16" borderId="45" xfId="46" applyFont="1" applyFill="1" applyBorder="1"/>
    <xf numFmtId="172" fontId="4" fillId="6" borderId="7" xfId="0" applyNumberFormat="1" applyFont="1" applyFill="1" applyBorder="1" applyAlignment="1">
      <alignment horizontal="center"/>
    </xf>
    <xf numFmtId="44" fontId="0" fillId="6" borderId="51" xfId="46" applyFont="1" applyFill="1" applyBorder="1"/>
    <xf numFmtId="44" fontId="0" fillId="6" borderId="38" xfId="46" applyFont="1" applyFill="1" applyBorder="1"/>
    <xf numFmtId="172" fontId="0" fillId="4" borderId="0" xfId="0" applyNumberFormat="1" applyFill="1"/>
    <xf numFmtId="0" fontId="0" fillId="4" borderId="0" xfId="0" applyFill="1"/>
    <xf numFmtId="175" fontId="37" fillId="0" borderId="0" xfId="0" applyNumberFormat="1" applyFont="1"/>
    <xf numFmtId="175" fontId="36" fillId="18" borderId="0" xfId="0" applyNumberFormat="1" applyFont="1" applyFill="1"/>
    <xf numFmtId="3" fontId="34" fillId="18" borderId="0" xfId="0" applyNumberFormat="1" applyFont="1" applyFill="1"/>
    <xf numFmtId="0" fontId="25" fillId="16" borderId="7" xfId="0" applyFont="1" applyFill="1" applyBorder="1" applyAlignment="1">
      <alignment horizontal="center" vertical="center" wrapText="1"/>
    </xf>
    <xf numFmtId="0" fontId="25" fillId="20" borderId="60" xfId="0" applyFont="1" applyFill="1" applyBorder="1" applyAlignment="1">
      <alignment horizontal="center" vertical="center" wrapText="1"/>
    </xf>
    <xf numFmtId="166" fontId="24" fillId="0" borderId="0" xfId="0" applyNumberFormat="1" applyFont="1"/>
    <xf numFmtId="44" fontId="24" fillId="0" borderId="63" xfId="46" applyFont="1" applyBorder="1" applyAlignment="1">
      <alignment horizontal="center" vertical="center"/>
    </xf>
    <xf numFmtId="0" fontId="25" fillId="0" borderId="63" xfId="0" applyFont="1" applyBorder="1" applyAlignment="1">
      <alignment horizontal="center"/>
    </xf>
    <xf numFmtId="44" fontId="24" fillId="0" borderId="64" xfId="46" applyFont="1" applyBorder="1" applyAlignment="1">
      <alignment horizontal="center" vertical="center"/>
    </xf>
    <xf numFmtId="44" fontId="24" fillId="16" borderId="37" xfId="46" applyFont="1" applyFill="1" applyBorder="1" applyAlignment="1">
      <alignment horizontal="right"/>
    </xf>
    <xf numFmtId="0" fontId="25" fillId="0" borderId="68" xfId="0" applyFont="1" applyBorder="1" applyAlignment="1">
      <alignment horizontal="center"/>
    </xf>
    <xf numFmtId="44" fontId="24" fillId="0" borderId="68" xfId="46" applyFont="1" applyBorder="1" applyAlignment="1">
      <alignment horizontal="center" vertical="center"/>
    </xf>
    <xf numFmtId="44" fontId="24" fillId="0" borderId="38" xfId="46" applyFont="1" applyBorder="1" applyAlignment="1">
      <alignment horizontal="center" vertical="center"/>
    </xf>
    <xf numFmtId="0" fontId="25" fillId="0" borderId="66" xfId="0" applyFont="1" applyBorder="1" applyAlignment="1">
      <alignment horizontal="center"/>
    </xf>
    <xf numFmtId="44" fontId="25" fillId="4" borderId="7" xfId="46" applyFont="1" applyFill="1" applyBorder="1" applyAlignment="1">
      <alignment horizontal="right"/>
    </xf>
    <xf numFmtId="44" fontId="25" fillId="16" borderId="7" xfId="46" applyFont="1" applyFill="1" applyBorder="1" applyAlignment="1">
      <alignment horizontal="right"/>
    </xf>
    <xf numFmtId="44" fontId="25" fillId="20" borderId="60" xfId="46" applyFont="1" applyFill="1" applyBorder="1" applyAlignment="1">
      <alignment horizontal="right"/>
    </xf>
    <xf numFmtId="0" fontId="25" fillId="0" borderId="43" xfId="0" applyFont="1" applyBorder="1" applyAlignment="1">
      <alignment horizontal="center"/>
    </xf>
    <xf numFmtId="0" fontId="25" fillId="0" borderId="67" xfId="0" applyFont="1" applyBorder="1" applyAlignment="1">
      <alignment horizontal="center"/>
    </xf>
    <xf numFmtId="44" fontId="24" fillId="0" borderId="46" xfId="46" applyFont="1" applyBorder="1" applyAlignment="1">
      <alignment horizontal="center" vertical="center"/>
    </xf>
    <xf numFmtId="0" fontId="25" fillId="0" borderId="7" xfId="0" applyFont="1" applyBorder="1" applyAlignment="1">
      <alignment horizontal="center"/>
    </xf>
    <xf numFmtId="0" fontId="25" fillId="0" borderId="60" xfId="0" applyFont="1" applyBorder="1" applyAlignment="1">
      <alignment horizontal="center"/>
    </xf>
    <xf numFmtId="44" fontId="25" fillId="16" borderId="7" xfId="46" applyFont="1" applyFill="1" applyBorder="1"/>
    <xf numFmtId="44" fontId="25" fillId="20" borderId="60" xfId="46" applyFont="1" applyFill="1" applyBorder="1"/>
    <xf numFmtId="0" fontId="25" fillId="0" borderId="0" xfId="0" applyFont="1" applyAlignment="1">
      <alignment horizontal="center"/>
    </xf>
    <xf numFmtId="171" fontId="25" fillId="0" borderId="0" xfId="0" applyNumberFormat="1" applyFont="1"/>
    <xf numFmtId="0" fontId="25" fillId="2" borderId="7" xfId="0" applyFont="1" applyFill="1" applyBorder="1" applyAlignment="1">
      <alignment horizontal="center"/>
    </xf>
    <xf numFmtId="171" fontId="25" fillId="2" borderId="7" xfId="0" applyNumberFormat="1" applyFont="1" applyFill="1" applyBorder="1" applyAlignment="1">
      <alignment horizontal="center"/>
    </xf>
    <xf numFmtId="0" fontId="24" fillId="0" borderId="13" xfId="0" applyFont="1" applyBorder="1" applyAlignment="1">
      <alignment horizontal="center"/>
    </xf>
    <xf numFmtId="14" fontId="24" fillId="0" borderId="7" xfId="0" applyNumberFormat="1" applyFont="1" applyBorder="1" applyAlignment="1">
      <alignment horizontal="center"/>
    </xf>
    <xf numFmtId="44" fontId="24" fillId="0" borderId="7" xfId="46" applyFont="1" applyBorder="1" applyAlignment="1">
      <alignment horizontal="center" vertical="center"/>
    </xf>
    <xf numFmtId="10" fontId="24" fillId="0" borderId="7" xfId="47" applyNumberFormat="1" applyFont="1" applyBorder="1" applyAlignment="1">
      <alignment horizontal="center"/>
    </xf>
    <xf numFmtId="44" fontId="24" fillId="0" borderId="51" xfId="46" applyFont="1" applyBorder="1" applyAlignment="1">
      <alignment horizontal="center" vertical="center"/>
    </xf>
    <xf numFmtId="166" fontId="25" fillId="2" borderId="7" xfId="0" applyNumberFormat="1" applyFont="1" applyFill="1" applyBorder="1" applyAlignment="1">
      <alignment horizontal="center" vertical="center" wrapText="1"/>
    </xf>
    <xf numFmtId="166" fontId="25" fillId="2" borderId="60" xfId="0" applyNumberFormat="1" applyFont="1" applyFill="1" applyBorder="1" applyAlignment="1">
      <alignment horizontal="center" vertical="center" wrapText="1"/>
    </xf>
    <xf numFmtId="44" fontId="25" fillId="0" borderId="67" xfId="46" applyFont="1" applyBorder="1" applyAlignment="1">
      <alignment horizontal="center"/>
    </xf>
    <xf numFmtId="44" fontId="25" fillId="16" borderId="7" xfId="46" applyFont="1" applyFill="1" applyBorder="1" applyAlignment="1">
      <alignment horizontal="center"/>
    </xf>
    <xf numFmtId="0" fontId="34" fillId="0" borderId="59" xfId="0" applyFont="1" applyBorder="1" applyAlignment="1">
      <alignment horizontal="center"/>
    </xf>
    <xf numFmtId="44" fontId="24" fillId="16" borderId="38" xfId="46" applyFont="1" applyFill="1" applyBorder="1" applyAlignment="1">
      <alignment horizontal="right"/>
    </xf>
    <xf numFmtId="3" fontId="0" fillId="0" borderId="0" xfId="0" applyNumberFormat="1" applyAlignment="1">
      <alignment wrapText="1"/>
    </xf>
    <xf numFmtId="4" fontId="25" fillId="4" borderId="0" xfId="0" applyNumberFormat="1" applyFont="1" applyFill="1"/>
    <xf numFmtId="4" fontId="25" fillId="6" borderId="17" xfId="0" applyNumberFormat="1" applyFont="1" applyFill="1" applyBorder="1"/>
    <xf numFmtId="4" fontId="4" fillId="7" borderId="60" xfId="9" applyNumberFormat="1" applyFont="1" applyFill="1" applyBorder="1" applyAlignment="1"/>
    <xf numFmtId="4" fontId="0" fillId="0" borderId="70" xfId="0" applyNumberFormat="1" applyBorder="1"/>
    <xf numFmtId="4" fontId="0" fillId="0" borderId="53" xfId="0" applyNumberFormat="1" applyBorder="1"/>
    <xf numFmtId="166" fontId="4" fillId="3" borderId="44" xfId="0" applyNumberFormat="1" applyFont="1" applyFill="1" applyBorder="1" applyAlignment="1">
      <alignment horizontal="center" vertical="center"/>
    </xf>
    <xf numFmtId="4" fontId="0" fillId="16" borderId="44" xfId="0" applyNumberFormat="1" applyFill="1" applyBorder="1" applyAlignment="1">
      <alignment vertical="center"/>
    </xf>
    <xf numFmtId="4" fontId="0" fillId="6" borderId="3" xfId="0" applyNumberFormat="1" applyFill="1" applyBorder="1" applyAlignment="1">
      <alignment vertical="center"/>
    </xf>
    <xf numFmtId="4" fontId="0" fillId="4" borderId="44" xfId="0" applyNumberFormat="1" applyFill="1" applyBorder="1"/>
    <xf numFmtId="4" fontId="4" fillId="0" borderId="0" xfId="0" applyNumberFormat="1" applyFont="1" applyAlignment="1">
      <alignment vertical="center"/>
    </xf>
    <xf numFmtId="10" fontId="4" fillId="0" borderId="0" xfId="47" applyNumberFormat="1" applyFont="1" applyAlignment="1">
      <alignment horizontal="center"/>
    </xf>
    <xf numFmtId="10" fontId="0" fillId="0" borderId="0" xfId="47" applyNumberFormat="1" applyFont="1"/>
    <xf numFmtId="44" fontId="25" fillId="25" borderId="38" xfId="0" applyNumberFormat="1" applyFont="1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4" fontId="24" fillId="16" borderId="31" xfId="0" applyNumberFormat="1" applyFont="1" applyFill="1" applyBorder="1"/>
    <xf numFmtId="4" fontId="24" fillId="16" borderId="47" xfId="0" applyNumberFormat="1" applyFont="1" applyFill="1" applyBorder="1"/>
    <xf numFmtId="0" fontId="28" fillId="25" borderId="43" xfId="0" applyFont="1" applyFill="1" applyBorder="1" applyAlignment="1">
      <alignment horizontal="center"/>
    </xf>
    <xf numFmtId="0" fontId="28" fillId="6" borderId="67" xfId="0" applyFont="1" applyFill="1" applyBorder="1" applyAlignment="1">
      <alignment horizontal="center"/>
    </xf>
    <xf numFmtId="0" fontId="28" fillId="6" borderId="43" xfId="0" applyFont="1" applyFill="1" applyBorder="1" applyAlignment="1">
      <alignment horizontal="center"/>
    </xf>
    <xf numFmtId="3" fontId="38" fillId="16" borderId="42" xfId="0" applyNumberFormat="1" applyFont="1" applyFill="1" applyBorder="1" applyAlignment="1">
      <alignment horizontal="center"/>
    </xf>
    <xf numFmtId="3" fontId="39" fillId="23" borderId="39" xfId="0" applyNumberFormat="1" applyFont="1" applyFill="1" applyBorder="1" applyAlignment="1">
      <alignment horizontal="center"/>
    </xf>
    <xf numFmtId="3" fontId="40" fillId="25" borderId="42" xfId="0" applyNumberFormat="1" applyFont="1" applyFill="1" applyBorder="1" applyAlignment="1">
      <alignment horizontal="center"/>
    </xf>
    <xf numFmtId="3" fontId="40" fillId="6" borderId="40" xfId="0" applyNumberFormat="1" applyFont="1" applyFill="1" applyBorder="1" applyAlignment="1">
      <alignment horizontal="center"/>
    </xf>
    <xf numFmtId="3" fontId="40" fillId="25" borderId="39" xfId="0" applyNumberFormat="1" applyFont="1" applyFill="1" applyBorder="1" applyAlignment="1">
      <alignment horizontal="center"/>
    </xf>
    <xf numFmtId="3" fontId="40" fillId="6" borderId="64" xfId="0" applyNumberFormat="1" applyFont="1" applyFill="1" applyBorder="1" applyAlignment="1">
      <alignment horizontal="center"/>
    </xf>
    <xf numFmtId="3" fontId="40" fillId="6" borderId="39" xfId="0" applyNumberFormat="1" applyFont="1" applyFill="1" applyBorder="1" applyAlignment="1">
      <alignment horizontal="center"/>
    </xf>
    <xf numFmtId="166" fontId="31" fillId="0" borderId="44" xfId="0" applyNumberFormat="1" applyFont="1" applyBorder="1" applyAlignment="1">
      <alignment wrapText="1"/>
    </xf>
    <xf numFmtId="166" fontId="31" fillId="4" borderId="44" xfId="0" applyNumberFormat="1" applyFont="1" applyFill="1" applyBorder="1"/>
    <xf numFmtId="166" fontId="40" fillId="4" borderId="24" xfId="0" applyNumberFormat="1" applyFont="1" applyFill="1" applyBorder="1" applyAlignment="1">
      <alignment horizontal="center"/>
    </xf>
    <xf numFmtId="166" fontId="40" fillId="4" borderId="3" xfId="0" applyNumberFormat="1" applyFont="1" applyFill="1" applyBorder="1" applyAlignment="1">
      <alignment horizontal="center"/>
    </xf>
    <xf numFmtId="166" fontId="31" fillId="4" borderId="7" xfId="0" applyNumberFormat="1" applyFont="1" applyFill="1" applyBorder="1"/>
    <xf numFmtId="166" fontId="31" fillId="4" borderId="7" xfId="0" applyNumberFormat="1" applyFont="1" applyFill="1" applyBorder="1" applyAlignment="1">
      <alignment horizontal="center"/>
    </xf>
    <xf numFmtId="3" fontId="31" fillId="16" borderId="16" xfId="0" applyNumberFormat="1" applyFont="1" applyFill="1" applyBorder="1"/>
    <xf numFmtId="3" fontId="32" fillId="23" borderId="7" xfId="0" applyNumberFormat="1" applyFont="1" applyFill="1" applyBorder="1"/>
    <xf numFmtId="3" fontId="31" fillId="7" borderId="17" xfId="0" applyNumberFormat="1" applyFont="1" applyFill="1" applyBorder="1" applyAlignment="1">
      <alignment horizontal="right"/>
    </xf>
    <xf numFmtId="3" fontId="31" fillId="26" borderId="7" xfId="0" applyNumberFormat="1" applyFont="1" applyFill="1" applyBorder="1" applyAlignment="1">
      <alignment horizontal="center"/>
    </xf>
    <xf numFmtId="166" fontId="0" fillId="0" borderId="44" xfId="0" applyNumberFormat="1" applyBorder="1"/>
    <xf numFmtId="166" fontId="0" fillId="0" borderId="24" xfId="0" applyNumberFormat="1" applyBorder="1"/>
    <xf numFmtId="166" fontId="0" fillId="0" borderId="3" xfId="0" applyNumberFormat="1" applyBorder="1"/>
    <xf numFmtId="166" fontId="0" fillId="0" borderId="46" xfId="0" applyNumberFormat="1" applyBorder="1"/>
    <xf numFmtId="3" fontId="32" fillId="25" borderId="16" xfId="0" applyNumberFormat="1" applyFont="1" applyFill="1" applyBorder="1" applyAlignment="1">
      <alignment horizontal="right"/>
    </xf>
    <xf numFmtId="2" fontId="31" fillId="26" borderId="60" xfId="47" applyNumberFormat="1" applyFont="1" applyFill="1" applyBorder="1" applyAlignment="1">
      <alignment horizontal="center"/>
    </xf>
    <xf numFmtId="9" fontId="0" fillId="0" borderId="46" xfId="47" applyFont="1" applyBorder="1"/>
    <xf numFmtId="166" fontId="40" fillId="4" borderId="51" xfId="0" applyNumberFormat="1" applyFont="1" applyFill="1" applyBorder="1" applyAlignment="1">
      <alignment horizontal="center"/>
    </xf>
    <xf numFmtId="3" fontId="31" fillId="16" borderId="16" xfId="0" applyNumberFormat="1" applyFont="1" applyFill="1" applyBorder="1" applyAlignment="1">
      <alignment horizontal="center"/>
    </xf>
    <xf numFmtId="3" fontId="32" fillId="23" borderId="7" xfId="0" applyNumberFormat="1" applyFont="1" applyFill="1" applyBorder="1" applyAlignment="1">
      <alignment horizontal="center"/>
    </xf>
    <xf numFmtId="3" fontId="31" fillId="26" borderId="39" xfId="0" applyNumberFormat="1" applyFont="1" applyFill="1" applyBorder="1" applyAlignment="1">
      <alignment horizontal="center"/>
    </xf>
    <xf numFmtId="166" fontId="0" fillId="0" borderId="16" xfId="0" applyNumberFormat="1" applyBorder="1" applyAlignment="1">
      <alignment horizontal="right"/>
    </xf>
    <xf numFmtId="166" fontId="0" fillId="0" borderId="7" xfId="0" applyNumberFormat="1" applyBorder="1" applyAlignment="1">
      <alignment horizontal="right"/>
    </xf>
    <xf numFmtId="166" fontId="0" fillId="0" borderId="17" xfId="0" applyNumberFormat="1" applyBorder="1" applyAlignment="1">
      <alignment horizontal="right"/>
    </xf>
    <xf numFmtId="166" fontId="0" fillId="0" borderId="59" xfId="0" applyNumberFormat="1" applyBorder="1"/>
    <xf numFmtId="166" fontId="0" fillId="0" borderId="53" xfId="0" applyNumberFormat="1" applyBorder="1" applyAlignment="1">
      <alignment horizontal="center" vertical="center"/>
    </xf>
    <xf numFmtId="166" fontId="8" fillId="0" borderId="0" xfId="0" applyNumberFormat="1" applyFont="1"/>
    <xf numFmtId="166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0" fontId="28" fillId="23" borderId="43" xfId="0" applyFont="1" applyFill="1" applyBorder="1" applyAlignment="1">
      <alignment horizontal="center"/>
    </xf>
    <xf numFmtId="166" fontId="40" fillId="4" borderId="7" xfId="0" applyNumberFormat="1" applyFont="1" applyFill="1" applyBorder="1" applyAlignment="1">
      <alignment horizontal="center"/>
    </xf>
    <xf numFmtId="166" fontId="40" fillId="4" borderId="60" xfId="0" applyNumberFormat="1" applyFont="1" applyFill="1" applyBorder="1" applyAlignment="1">
      <alignment horizontal="center"/>
    </xf>
    <xf numFmtId="166" fontId="31" fillId="4" borderId="37" xfId="0" applyNumberFormat="1" applyFont="1" applyFill="1" applyBorder="1" applyAlignment="1">
      <alignment wrapText="1"/>
    </xf>
    <xf numFmtId="166" fontId="31" fillId="4" borderId="37" xfId="0" applyNumberFormat="1" applyFont="1" applyFill="1" applyBorder="1" applyAlignment="1">
      <alignment horizontal="center"/>
    </xf>
    <xf numFmtId="3" fontId="32" fillId="23" borderId="37" xfId="0" applyNumberFormat="1" applyFont="1" applyFill="1" applyBorder="1"/>
    <xf numFmtId="3" fontId="32" fillId="23" borderId="37" xfId="0" applyNumberFormat="1" applyFont="1" applyFill="1" applyBorder="1" applyAlignment="1">
      <alignment horizontal="center"/>
    </xf>
    <xf numFmtId="0" fontId="28" fillId="16" borderId="43" xfId="0" applyFont="1" applyFill="1" applyBorder="1" applyAlignment="1">
      <alignment horizontal="center"/>
    </xf>
    <xf numFmtId="3" fontId="38" fillId="16" borderId="39" xfId="0" applyNumberFormat="1" applyFont="1" applyFill="1" applyBorder="1" applyAlignment="1">
      <alignment horizontal="center"/>
    </xf>
    <xf numFmtId="3" fontId="31" fillId="16" borderId="26" xfId="0" applyNumberFormat="1" applyFont="1" applyFill="1" applyBorder="1"/>
    <xf numFmtId="3" fontId="31" fillId="16" borderId="28" xfId="0" applyNumberFormat="1" applyFont="1" applyFill="1" applyBorder="1"/>
    <xf numFmtId="3" fontId="31" fillId="7" borderId="28" xfId="0" applyNumberFormat="1" applyFont="1" applyFill="1" applyBorder="1" applyAlignment="1">
      <alignment horizontal="right"/>
    </xf>
    <xf numFmtId="166" fontId="31" fillId="4" borderId="51" xfId="0" applyNumberFormat="1" applyFont="1" applyFill="1" applyBorder="1" applyAlignment="1">
      <alignment wrapText="1"/>
    </xf>
    <xf numFmtId="166" fontId="31" fillId="4" borderId="38" xfId="0" applyNumberFormat="1" applyFont="1" applyFill="1" applyBorder="1" applyAlignment="1">
      <alignment horizontal="center"/>
    </xf>
    <xf numFmtId="3" fontId="31" fillId="16" borderId="31" xfId="0" applyNumberFormat="1" applyFont="1" applyFill="1" applyBorder="1"/>
    <xf numFmtId="3" fontId="31" fillId="16" borderId="5" xfId="0" applyNumberFormat="1" applyFont="1" applyFill="1" applyBorder="1"/>
    <xf numFmtId="3" fontId="32" fillId="23" borderId="38" xfId="0" applyNumberFormat="1" applyFont="1" applyFill="1" applyBorder="1"/>
    <xf numFmtId="3" fontId="31" fillId="7" borderId="5" xfId="0" applyNumberFormat="1" applyFont="1" applyFill="1" applyBorder="1" applyAlignment="1">
      <alignment horizontal="right"/>
    </xf>
    <xf numFmtId="3" fontId="31" fillId="7" borderId="5" xfId="0" applyNumberFormat="1" applyFont="1" applyFill="1" applyBorder="1" applyAlignment="1">
      <alignment horizontal="right" vertical="center" wrapText="1"/>
    </xf>
    <xf numFmtId="166" fontId="31" fillId="4" borderId="51" xfId="0" applyNumberFormat="1" applyFont="1" applyFill="1" applyBorder="1" applyAlignment="1">
      <alignment vertical="center" wrapText="1"/>
    </xf>
    <xf numFmtId="166" fontId="31" fillId="4" borderId="38" xfId="0" applyNumberFormat="1" applyFont="1" applyFill="1" applyBorder="1" applyAlignment="1">
      <alignment horizontal="center" vertical="center"/>
    </xf>
    <xf numFmtId="166" fontId="31" fillId="0" borderId="44" xfId="0" applyNumberFormat="1" applyFont="1" applyBorder="1"/>
    <xf numFmtId="166" fontId="31" fillId="4" borderId="45" xfId="0" applyNumberFormat="1" applyFont="1" applyFill="1" applyBorder="1" applyAlignment="1">
      <alignment horizontal="center"/>
    </xf>
    <xf numFmtId="0" fontId="31" fillId="0" borderId="38" xfId="0" applyFont="1" applyBorder="1"/>
    <xf numFmtId="166" fontId="0" fillId="0" borderId="39" xfId="0" applyNumberFormat="1" applyBorder="1"/>
    <xf numFmtId="166" fontId="0" fillId="0" borderId="39" xfId="0" applyNumberFormat="1" applyBorder="1" applyAlignment="1">
      <alignment horizontal="center"/>
    </xf>
    <xf numFmtId="3" fontId="32" fillId="23" borderId="39" xfId="0" applyNumberFormat="1" applyFont="1" applyFill="1" applyBorder="1"/>
    <xf numFmtId="3" fontId="31" fillId="7" borderId="40" xfId="0" applyNumberFormat="1" applyFont="1" applyFill="1" applyBorder="1" applyAlignment="1">
      <alignment horizontal="right"/>
    </xf>
    <xf numFmtId="4" fontId="32" fillId="23" borderId="38" xfId="0" applyNumberFormat="1" applyFont="1" applyFill="1" applyBorder="1"/>
    <xf numFmtId="3" fontId="31" fillId="16" borderId="40" xfId="0" applyNumberFormat="1" applyFont="1" applyFill="1" applyBorder="1"/>
    <xf numFmtId="3" fontId="31" fillId="7" borderId="5" xfId="0" applyNumberFormat="1" applyFont="1" applyFill="1" applyBorder="1"/>
    <xf numFmtId="3" fontId="31" fillId="7" borderId="32" xfId="0" applyNumberFormat="1" applyFont="1" applyFill="1" applyBorder="1"/>
    <xf numFmtId="3" fontId="31" fillId="7" borderId="40" xfId="0" applyNumberFormat="1" applyFont="1" applyFill="1" applyBorder="1"/>
    <xf numFmtId="3" fontId="31" fillId="7" borderId="72" xfId="0" applyNumberFormat="1" applyFont="1" applyFill="1" applyBorder="1"/>
    <xf numFmtId="10" fontId="31" fillId="7" borderId="28" xfId="47" applyNumberFormat="1" applyFont="1" applyFill="1" applyBorder="1"/>
    <xf numFmtId="10" fontId="31" fillId="7" borderId="29" xfId="47" applyNumberFormat="1" applyFont="1" applyFill="1" applyBorder="1"/>
    <xf numFmtId="10" fontId="31" fillId="7" borderId="5" xfId="47" applyNumberFormat="1" applyFont="1" applyFill="1" applyBorder="1"/>
    <xf numFmtId="10" fontId="31" fillId="7" borderId="32" xfId="47" applyNumberFormat="1" applyFont="1" applyFill="1" applyBorder="1"/>
    <xf numFmtId="10" fontId="31" fillId="7" borderId="40" xfId="47" applyNumberFormat="1" applyFont="1" applyFill="1" applyBorder="1"/>
    <xf numFmtId="10" fontId="31" fillId="7" borderId="72" xfId="47" applyNumberFormat="1" applyFont="1" applyFill="1" applyBorder="1"/>
    <xf numFmtId="166" fontId="31" fillId="0" borderId="40" xfId="0" applyNumberFormat="1" applyFont="1" applyBorder="1" applyAlignment="1">
      <alignment horizontal="center"/>
    </xf>
    <xf numFmtId="2" fontId="31" fillId="25" borderId="70" xfId="47" applyNumberFormat="1" applyFont="1" applyFill="1" applyBorder="1" applyAlignment="1">
      <alignment vertical="center"/>
    </xf>
    <xf numFmtId="2" fontId="31" fillId="6" borderId="70" xfId="47" applyNumberFormat="1" applyFont="1" applyFill="1" applyBorder="1" applyAlignment="1">
      <alignment vertical="center"/>
    </xf>
    <xf numFmtId="3" fontId="32" fillId="23" borderId="37" xfId="0" applyNumberFormat="1" applyFont="1" applyFill="1" applyBorder="1" applyAlignment="1">
      <alignment horizontal="center" vertical="center"/>
    </xf>
    <xf numFmtId="166" fontId="31" fillId="4" borderId="39" xfId="0" applyNumberFormat="1" applyFont="1" applyFill="1" applyBorder="1" applyAlignment="1">
      <alignment horizontal="center" vertical="center"/>
    </xf>
    <xf numFmtId="166" fontId="31" fillId="4" borderId="39" xfId="0" applyNumberFormat="1" applyFont="1" applyFill="1" applyBorder="1" applyAlignment="1">
      <alignment horizontal="center"/>
    </xf>
    <xf numFmtId="3" fontId="0" fillId="0" borderId="5" xfId="0" applyNumberFormat="1" applyBorder="1" applyAlignment="1">
      <alignment horizontal="right"/>
    </xf>
    <xf numFmtId="3" fontId="0" fillId="0" borderId="32" xfId="0" applyNumberForma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3" fontId="0" fillId="0" borderId="72" xfId="0" applyNumberFormat="1" applyBorder="1" applyAlignment="1">
      <alignment horizontal="right"/>
    </xf>
    <xf numFmtId="166" fontId="0" fillId="0" borderId="22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42" xfId="0" applyNumberFormat="1" applyBorder="1" applyAlignment="1">
      <alignment horizontal="center"/>
    </xf>
    <xf numFmtId="166" fontId="0" fillId="0" borderId="51" xfId="0" applyNumberFormat="1" applyBorder="1"/>
    <xf numFmtId="166" fontId="0" fillId="0" borderId="38" xfId="0" applyNumberFormat="1" applyBorder="1"/>
    <xf numFmtId="0" fontId="0" fillId="0" borderId="38" xfId="0" applyBorder="1"/>
    <xf numFmtId="9" fontId="25" fillId="17" borderId="58" xfId="0" applyNumberFormat="1" applyFont="1" applyFill="1" applyBorder="1" applyAlignment="1">
      <alignment horizontal="center"/>
    </xf>
    <xf numFmtId="44" fontId="24" fillId="17" borderId="63" xfId="46" applyFont="1" applyFill="1" applyBorder="1"/>
    <xf numFmtId="10" fontId="32" fillId="17" borderId="46" xfId="47" applyNumberFormat="1" applyFont="1" applyFill="1" applyBorder="1" applyAlignment="1">
      <alignment horizontal="center"/>
    </xf>
    <xf numFmtId="3" fontId="40" fillId="6" borderId="77" xfId="0" applyNumberFormat="1" applyFont="1" applyFill="1" applyBorder="1" applyAlignment="1">
      <alignment horizontal="center"/>
    </xf>
    <xf numFmtId="166" fontId="40" fillId="4" borderId="15" xfId="0" applyNumberFormat="1" applyFont="1" applyFill="1" applyBorder="1" applyAlignment="1">
      <alignment horizontal="center"/>
    </xf>
    <xf numFmtId="166" fontId="40" fillId="4" borderId="17" xfId="0" applyNumberFormat="1" applyFont="1" applyFill="1" applyBorder="1" applyAlignment="1">
      <alignment horizontal="center"/>
    </xf>
    <xf numFmtId="166" fontId="40" fillId="4" borderId="18" xfId="0" applyNumberFormat="1" applyFont="1" applyFill="1" applyBorder="1" applyAlignment="1">
      <alignment horizontal="center"/>
    </xf>
    <xf numFmtId="166" fontId="40" fillId="4" borderId="16" xfId="0" applyNumberFormat="1" applyFont="1" applyFill="1" applyBorder="1" applyAlignment="1">
      <alignment horizontal="center"/>
    </xf>
    <xf numFmtId="4" fontId="0" fillId="7" borderId="47" xfId="0" applyNumberFormat="1" applyFill="1" applyBorder="1" applyAlignment="1">
      <alignment vertical="center"/>
    </xf>
    <xf numFmtId="4" fontId="0" fillId="7" borderId="40" xfId="0" applyNumberFormat="1" applyFill="1" applyBorder="1" applyAlignment="1">
      <alignment vertical="center"/>
    </xf>
    <xf numFmtId="3" fontId="0" fillId="0" borderId="74" xfId="0" applyNumberFormat="1" applyBorder="1"/>
    <xf numFmtId="3" fontId="0" fillId="0" borderId="24" xfId="0" applyNumberFormat="1" applyBorder="1"/>
    <xf numFmtId="166" fontId="0" fillId="0" borderId="69" xfId="0" applyNumberFormat="1" applyBorder="1"/>
    <xf numFmtId="0" fontId="0" fillId="0" borderId="69" xfId="0" applyBorder="1"/>
    <xf numFmtId="166" fontId="0" fillId="0" borderId="52" xfId="0" applyNumberFormat="1" applyBorder="1"/>
    <xf numFmtId="166" fontId="0" fillId="0" borderId="71" xfId="0" applyNumberFormat="1" applyBorder="1"/>
    <xf numFmtId="166" fontId="0" fillId="0" borderId="11" xfId="0" applyNumberFormat="1" applyBorder="1"/>
    <xf numFmtId="0" fontId="0" fillId="0" borderId="11" xfId="0" applyBorder="1"/>
    <xf numFmtId="166" fontId="4" fillId="0" borderId="46" xfId="0" applyNumberFormat="1" applyFont="1" applyBorder="1"/>
    <xf numFmtId="166" fontId="25" fillId="0" borderId="46" xfId="0" applyNumberFormat="1" applyFont="1" applyBorder="1"/>
    <xf numFmtId="0" fontId="37" fillId="0" borderId="0" xfId="0" applyFont="1"/>
    <xf numFmtId="44" fontId="37" fillId="0" borderId="0" xfId="0" applyNumberFormat="1" applyFont="1"/>
    <xf numFmtId="182" fontId="44" fillId="0" borderId="0" xfId="0" applyNumberFormat="1" applyFont="1" applyAlignment="1">
      <alignment horizontal="right" vertical="top" wrapText="1"/>
    </xf>
    <xf numFmtId="183" fontId="44" fillId="0" borderId="0" xfId="0" applyNumberFormat="1" applyFont="1" applyAlignment="1">
      <alignment horizontal="right" vertical="top" wrapText="1"/>
    </xf>
    <xf numFmtId="4" fontId="45" fillId="0" borderId="0" xfId="0" applyNumberFormat="1" applyFont="1" applyAlignment="1">
      <alignment horizontal="left" vertical="top" wrapText="1"/>
    </xf>
    <xf numFmtId="4" fontId="44" fillId="0" borderId="0" xfId="0" applyNumberFormat="1" applyFont="1" applyAlignment="1">
      <alignment horizontal="right" vertical="top" wrapText="1"/>
    </xf>
    <xf numFmtId="4" fontId="44" fillId="0" borderId="0" xfId="0" applyNumberFormat="1" applyFont="1" applyAlignment="1">
      <alignment horizontal="left" vertical="top" wrapText="1"/>
    </xf>
    <xf numFmtId="44" fontId="41" fillId="27" borderId="82" xfId="46" applyFont="1" applyFill="1" applyBorder="1" applyAlignment="1">
      <alignment horizontal="center" vertical="center" wrapText="1"/>
    </xf>
    <xf numFmtId="166" fontId="24" fillId="0" borderId="52" xfId="0" applyNumberFormat="1" applyFont="1" applyBorder="1"/>
    <xf numFmtId="3" fontId="31" fillId="25" borderId="27" xfId="0" applyNumberFormat="1" applyFont="1" applyFill="1" applyBorder="1" applyAlignment="1">
      <alignment horizontal="center"/>
    </xf>
    <xf numFmtId="4" fontId="32" fillId="25" borderId="16" xfId="0" applyNumberFormat="1" applyFont="1" applyFill="1" applyBorder="1" applyAlignment="1">
      <alignment horizontal="right"/>
    </xf>
    <xf numFmtId="166" fontId="4" fillId="4" borderId="0" xfId="0" applyNumberFormat="1" applyFont="1" applyFill="1" applyAlignment="1">
      <alignment horizontal="center"/>
    </xf>
    <xf numFmtId="10" fontId="31" fillId="7" borderId="57" xfId="47" applyNumberFormat="1" applyFont="1" applyFill="1" applyBorder="1"/>
    <xf numFmtId="3" fontId="31" fillId="26" borderId="37" xfId="0" applyNumberFormat="1" applyFont="1" applyFill="1" applyBorder="1" applyAlignment="1">
      <alignment horizontal="center"/>
    </xf>
    <xf numFmtId="4" fontId="30" fillId="26" borderId="39" xfId="0" applyNumberFormat="1" applyFont="1" applyFill="1" applyBorder="1" applyAlignment="1">
      <alignment horizontal="center"/>
    </xf>
    <xf numFmtId="175" fontId="4" fillId="0" borderId="0" xfId="0" applyNumberFormat="1" applyFont="1"/>
    <xf numFmtId="175" fontId="0" fillId="25" borderId="0" xfId="0" applyNumberFormat="1" applyFill="1"/>
    <xf numFmtId="0" fontId="0" fillId="25" borderId="0" xfId="0" applyFill="1"/>
    <xf numFmtId="175" fontId="4" fillId="25" borderId="0" xfId="0" applyNumberFormat="1" applyFont="1" applyFill="1"/>
    <xf numFmtId="3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vertical="center"/>
    </xf>
    <xf numFmtId="4" fontId="4" fillId="4" borderId="83" xfId="0" applyNumberFormat="1" applyFont="1" applyFill="1" applyBorder="1"/>
    <xf numFmtId="166" fontId="0" fillId="0" borderId="67" xfId="0" applyNumberFormat="1" applyBorder="1"/>
    <xf numFmtId="166" fontId="25" fillId="0" borderId="52" xfId="0" applyNumberFormat="1" applyFont="1" applyBorder="1" applyAlignment="1">
      <alignment horizontal="left"/>
    </xf>
    <xf numFmtId="4" fontId="4" fillId="0" borderId="0" xfId="0" applyNumberFormat="1" applyFont="1" applyAlignment="1">
      <alignment horizontal="right"/>
    </xf>
    <xf numFmtId="2" fontId="0" fillId="0" borderId="0" xfId="0" applyNumberFormat="1"/>
    <xf numFmtId="3" fontId="4" fillId="19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right"/>
    </xf>
    <xf numFmtId="171" fontId="27" fillId="2" borderId="18" xfId="0" applyNumberFormat="1" applyFont="1" applyFill="1" applyBorder="1" applyAlignment="1">
      <alignment horizontal="left"/>
    </xf>
    <xf numFmtId="0" fontId="0" fillId="0" borderId="69" xfId="0" applyBorder="1" applyAlignment="1">
      <alignment horizontal="center"/>
    </xf>
    <xf numFmtId="0" fontId="0" fillId="0" borderId="7" xfId="0" applyBorder="1"/>
    <xf numFmtId="0" fontId="4" fillId="0" borderId="43" xfId="0" applyFont="1" applyBorder="1"/>
    <xf numFmtId="0" fontId="37" fillId="0" borderId="0" xfId="0" applyFont="1" applyAlignment="1">
      <alignment horizontal="center"/>
    </xf>
    <xf numFmtId="174" fontId="0" fillId="0" borderId="0" xfId="46" applyNumberFormat="1" applyFont="1" applyAlignment="1">
      <alignment horizontal="center"/>
    </xf>
    <xf numFmtId="173" fontId="0" fillId="0" borderId="0" xfId="0" applyNumberFormat="1" applyAlignment="1">
      <alignment horizontal="center"/>
    </xf>
    <xf numFmtId="0" fontId="0" fillId="6" borderId="44" xfId="0" applyFill="1" applyBorder="1"/>
    <xf numFmtId="44" fontId="0" fillId="6" borderId="0" xfId="46" applyFont="1" applyFill="1" applyBorder="1"/>
    <xf numFmtId="44" fontId="0" fillId="6" borderId="46" xfId="46" applyFont="1" applyFill="1" applyBorder="1"/>
    <xf numFmtId="0" fontId="0" fillId="23" borderId="44" xfId="0" applyFill="1" applyBorder="1"/>
    <xf numFmtId="44" fontId="0" fillId="23" borderId="0" xfId="0" applyNumberFormat="1" applyFill="1"/>
    <xf numFmtId="44" fontId="0" fillId="23" borderId="46" xfId="0" applyNumberFormat="1" applyFill="1" applyBorder="1"/>
    <xf numFmtId="0" fontId="4" fillId="22" borderId="53" xfId="0" applyFont="1" applyFill="1" applyBorder="1"/>
    <xf numFmtId="44" fontId="25" fillId="22" borderId="59" xfId="0" applyNumberFormat="1" applyFont="1" applyFill="1" applyBorder="1"/>
    <xf numFmtId="0" fontId="24" fillId="0" borderId="38" xfId="0" applyFont="1" applyBorder="1"/>
    <xf numFmtId="0" fontId="24" fillId="0" borderId="45" xfId="0" applyFont="1" applyBorder="1"/>
    <xf numFmtId="0" fontId="4" fillId="23" borderId="14" xfId="0" applyFont="1" applyFill="1" applyBorder="1" applyAlignment="1">
      <alignment horizontal="center"/>
    </xf>
    <xf numFmtId="0" fontId="0" fillId="0" borderId="86" xfId="0" applyBorder="1" applyAlignment="1">
      <alignment horizontal="center"/>
    </xf>
    <xf numFmtId="0" fontId="4" fillId="0" borderId="7" xfId="0" applyFont="1" applyBorder="1"/>
    <xf numFmtId="0" fontId="0" fillId="0" borderId="37" xfId="0" applyBorder="1"/>
    <xf numFmtId="0" fontId="24" fillId="0" borderId="51" xfId="0" applyFont="1" applyBorder="1"/>
    <xf numFmtId="171" fontId="27" fillId="0" borderId="11" xfId="0" applyNumberFormat="1" applyFont="1" applyBorder="1" applyAlignment="1">
      <alignment horizontal="left"/>
    </xf>
    <xf numFmtId="4" fontId="0" fillId="4" borderId="24" xfId="0" applyNumberFormat="1" applyFill="1" applyBorder="1"/>
    <xf numFmtId="4" fontId="0" fillId="4" borderId="3" xfId="0" applyNumberFormat="1" applyFill="1" applyBorder="1"/>
    <xf numFmtId="4" fontId="25" fillId="16" borderId="37" xfId="0" applyNumberFormat="1" applyFont="1" applyFill="1" applyBorder="1"/>
    <xf numFmtId="4" fontId="0" fillId="6" borderId="27" xfId="0" applyNumberFormat="1" applyFill="1" applyBorder="1"/>
    <xf numFmtId="4" fontId="4" fillId="16" borderId="37" xfId="0" applyNumberFormat="1" applyFont="1" applyFill="1" applyBorder="1"/>
    <xf numFmtId="4" fontId="4" fillId="6" borderId="27" xfId="0" applyNumberFormat="1" applyFont="1" applyFill="1" applyBorder="1"/>
    <xf numFmtId="4" fontId="0" fillId="0" borderId="15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7" borderId="19" xfId="0" applyNumberFormat="1" applyFill="1" applyBorder="1"/>
    <xf numFmtId="4" fontId="0" fillId="7" borderId="5" xfId="0" applyNumberFormat="1" applyFill="1" applyBorder="1"/>
    <xf numFmtId="4" fontId="0" fillId="7" borderId="58" xfId="0" applyNumberFormat="1" applyFill="1" applyBorder="1"/>
    <xf numFmtId="44" fontId="0" fillId="6" borderId="46" xfId="46" applyFont="1" applyFill="1" applyBorder="1" applyAlignment="1">
      <alignment horizontal="right"/>
    </xf>
    <xf numFmtId="44" fontId="0" fillId="23" borderId="46" xfId="0" applyNumberFormat="1" applyFill="1" applyBorder="1" applyAlignment="1">
      <alignment horizontal="right"/>
    </xf>
    <xf numFmtId="44" fontId="25" fillId="22" borderId="59" xfId="0" applyNumberFormat="1" applyFont="1" applyFill="1" applyBorder="1" applyAlignment="1">
      <alignment horizontal="right"/>
    </xf>
    <xf numFmtId="44" fontId="24" fillId="4" borderId="38" xfId="46" applyFont="1" applyFill="1" applyBorder="1"/>
    <xf numFmtId="44" fontId="25" fillId="25" borderId="38" xfId="46" applyFont="1" applyFill="1" applyBorder="1" applyAlignment="1">
      <alignment horizontal="center"/>
    </xf>
    <xf numFmtId="44" fontId="25" fillId="24" borderId="7" xfId="46" applyFont="1" applyFill="1" applyBorder="1"/>
    <xf numFmtId="165" fontId="25" fillId="0" borderId="38" xfId="0" applyNumberFormat="1" applyFont="1" applyBorder="1" applyAlignment="1">
      <alignment horizontal="center"/>
    </xf>
    <xf numFmtId="44" fontId="24" fillId="4" borderId="38" xfId="46" applyFont="1" applyFill="1" applyBorder="1" applyAlignment="1">
      <alignment horizontal="center"/>
    </xf>
    <xf numFmtId="44" fontId="24" fillId="4" borderId="51" xfId="46" applyFont="1" applyFill="1" applyBorder="1"/>
    <xf numFmtId="44" fontId="4" fillId="25" borderId="7" xfId="46" applyFont="1" applyFill="1" applyBorder="1" applyAlignment="1">
      <alignment horizontal="center"/>
    </xf>
    <xf numFmtId="44" fontId="24" fillId="0" borderId="51" xfId="0" applyNumberFormat="1" applyFont="1" applyBorder="1"/>
    <xf numFmtId="173" fontId="4" fillId="25" borderId="7" xfId="0" applyNumberFormat="1" applyFont="1" applyFill="1" applyBorder="1" applyAlignment="1">
      <alignment horizontal="center"/>
    </xf>
    <xf numFmtId="0" fontId="4" fillId="0" borderId="69" xfId="0" applyFont="1" applyBorder="1" applyAlignment="1">
      <alignment horizontal="center"/>
    </xf>
    <xf numFmtId="0" fontId="24" fillId="0" borderId="0" xfId="0" applyFont="1" applyAlignment="1">
      <alignment horizontal="center"/>
    </xf>
    <xf numFmtId="44" fontId="4" fillId="4" borderId="44" xfId="46" applyFont="1" applyFill="1" applyBorder="1" applyAlignment="1">
      <alignment horizontal="center"/>
    </xf>
    <xf numFmtId="173" fontId="0" fillId="0" borderId="44" xfId="0" applyNumberFormat="1" applyBorder="1" applyAlignment="1">
      <alignment horizontal="center"/>
    </xf>
    <xf numFmtId="0" fontId="0" fillId="0" borderId="46" xfId="0" applyBorder="1"/>
    <xf numFmtId="10" fontId="4" fillId="4" borderId="84" xfId="47" applyNumberFormat="1" applyFont="1" applyFill="1" applyBorder="1"/>
    <xf numFmtId="44" fontId="44" fillId="0" borderId="82" xfId="46" applyFont="1" applyFill="1" applyBorder="1" applyAlignment="1">
      <alignment horizontal="center" vertical="center" wrapText="1"/>
    </xf>
    <xf numFmtId="44" fontId="45" fillId="0" borderId="82" xfId="46" applyFont="1" applyFill="1" applyBorder="1" applyAlignment="1">
      <alignment horizontal="center" vertical="center" wrapText="1"/>
    </xf>
    <xf numFmtId="44" fontId="0" fillId="0" borderId="0" xfId="46" applyFont="1" applyBorder="1"/>
    <xf numFmtId="44" fontId="4" fillId="0" borderId="0" xfId="46" applyFont="1" applyBorder="1"/>
    <xf numFmtId="166" fontId="4" fillId="25" borderId="7" xfId="0" applyNumberFormat="1" applyFont="1" applyFill="1" applyBorder="1" applyAlignment="1">
      <alignment horizontal="center"/>
    </xf>
    <xf numFmtId="4" fontId="0" fillId="7" borderId="42" xfId="0" applyNumberFormat="1" applyFill="1" applyBorder="1"/>
    <xf numFmtId="4" fontId="0" fillId="16" borderId="51" xfId="0" applyNumberFormat="1" applyFill="1" applyBorder="1" applyAlignment="1">
      <alignment vertical="center"/>
    </xf>
    <xf numFmtId="4" fontId="0" fillId="16" borderId="39" xfId="0" applyNumberFormat="1" applyFill="1" applyBorder="1"/>
    <xf numFmtId="166" fontId="0" fillId="4" borderId="0" xfId="0" applyNumberFormat="1" applyFill="1"/>
    <xf numFmtId="166" fontId="8" fillId="4" borderId="0" xfId="0" applyNumberFormat="1" applyFont="1" applyFill="1" applyAlignment="1">
      <alignment horizontal="center"/>
    </xf>
    <xf numFmtId="4" fontId="4" fillId="7" borderId="16" xfId="0" applyNumberFormat="1" applyFont="1" applyFill="1" applyBorder="1" applyAlignment="1">
      <alignment vertical="center"/>
    </xf>
    <xf numFmtId="44" fontId="0" fillId="0" borderId="5" xfId="46" applyFont="1" applyBorder="1" applyAlignment="1">
      <alignment vertical="center"/>
    </xf>
    <xf numFmtId="44" fontId="4" fillId="0" borderId="5" xfId="46" applyFont="1" applyBorder="1" applyAlignment="1">
      <alignment vertical="center"/>
    </xf>
    <xf numFmtId="4" fontId="0" fillId="7" borderId="68" xfId="0" applyNumberFormat="1" applyFill="1" applyBorder="1" applyAlignment="1">
      <alignment vertical="center"/>
    </xf>
    <xf numFmtId="4" fontId="4" fillId="7" borderId="60" xfId="0" applyNumberFormat="1" applyFont="1" applyFill="1" applyBorder="1" applyAlignment="1">
      <alignment vertical="center"/>
    </xf>
    <xf numFmtId="0" fontId="25" fillId="16" borderId="60" xfId="0" applyFont="1" applyFill="1" applyBorder="1" applyAlignment="1">
      <alignment horizontal="center" vertical="center" wrapText="1"/>
    </xf>
    <xf numFmtId="44" fontId="24" fillId="0" borderId="27" xfId="46" applyFont="1" applyBorder="1" applyAlignment="1">
      <alignment horizontal="right"/>
    </xf>
    <xf numFmtId="44" fontId="24" fillId="0" borderId="4" xfId="46" applyFont="1" applyBorder="1" applyAlignment="1">
      <alignment horizontal="right"/>
    </xf>
    <xf numFmtId="44" fontId="24" fillId="0" borderId="42" xfId="46" applyFont="1" applyBorder="1" applyAlignment="1">
      <alignment horizontal="right"/>
    </xf>
    <xf numFmtId="44" fontId="25" fillId="4" borderId="60" xfId="46" applyFont="1" applyFill="1" applyBorder="1" applyAlignment="1">
      <alignment horizontal="right"/>
    </xf>
    <xf numFmtId="0" fontId="25" fillId="0" borderId="62" xfId="0" applyFont="1" applyBorder="1" applyAlignment="1">
      <alignment horizontal="center"/>
    </xf>
    <xf numFmtId="0" fontId="25" fillId="0" borderId="64" xfId="0" applyFont="1" applyBorder="1" applyAlignment="1">
      <alignment horizontal="center"/>
    </xf>
    <xf numFmtId="44" fontId="24" fillId="0" borderId="68" xfId="46" applyFont="1" applyBorder="1" applyAlignment="1">
      <alignment horizontal="right"/>
    </xf>
    <xf numFmtId="44" fontId="24" fillId="0" borderId="63" xfId="46" applyFont="1" applyBorder="1" applyAlignment="1">
      <alignment horizontal="right"/>
    </xf>
    <xf numFmtId="44" fontId="24" fillId="0" borderId="66" xfId="46" applyFont="1" applyBorder="1" applyAlignment="1">
      <alignment horizontal="right"/>
    </xf>
    <xf numFmtId="44" fontId="24" fillId="20" borderId="37" xfId="46" applyFont="1" applyFill="1" applyBorder="1" applyAlignment="1">
      <alignment horizontal="right"/>
    </xf>
    <xf numFmtId="44" fontId="24" fillId="20" borderId="38" xfId="46" applyFont="1" applyFill="1" applyBorder="1" applyAlignment="1">
      <alignment horizontal="right"/>
    </xf>
    <xf numFmtId="44" fontId="24" fillId="20" borderId="39" xfId="46" applyFont="1" applyFill="1" applyBorder="1" applyAlignment="1">
      <alignment horizontal="right"/>
    </xf>
    <xf numFmtId="0" fontId="0" fillId="0" borderId="43" xfId="0" applyBorder="1" applyAlignment="1">
      <alignment horizontal="center"/>
    </xf>
    <xf numFmtId="0" fontId="4" fillId="0" borderId="7" xfId="0" applyFont="1" applyBorder="1" applyAlignment="1">
      <alignment horizontal="center"/>
    </xf>
    <xf numFmtId="44" fontId="0" fillId="6" borderId="44" xfId="46" applyFont="1" applyFill="1" applyBorder="1"/>
    <xf numFmtId="44" fontId="0" fillId="23" borderId="44" xfId="0" applyNumberFormat="1" applyFill="1" applyBorder="1"/>
    <xf numFmtId="44" fontId="24" fillId="0" borderId="21" xfId="0" applyNumberFormat="1" applyFont="1" applyBorder="1"/>
    <xf numFmtId="166" fontId="4" fillId="23" borderId="0" xfId="0" applyNumberFormat="1" applyFont="1" applyFill="1"/>
    <xf numFmtId="3" fontId="4" fillId="5" borderId="14" xfId="0" applyNumberFormat="1" applyFont="1" applyFill="1" applyBorder="1"/>
    <xf numFmtId="166" fontId="0" fillId="0" borderId="0" xfId="0" applyNumberFormat="1" applyAlignment="1">
      <alignment horizontal="right" vertical="center"/>
    </xf>
    <xf numFmtId="3" fontId="34" fillId="18" borderId="14" xfId="0" applyNumberFormat="1" applyFont="1" applyFill="1" applyBorder="1"/>
    <xf numFmtId="3" fontId="34" fillId="24" borderId="14" xfId="0" applyNumberFormat="1" applyFont="1" applyFill="1" applyBorder="1"/>
    <xf numFmtId="4" fontId="4" fillId="5" borderId="14" xfId="0" applyNumberFormat="1" applyFont="1" applyFill="1" applyBorder="1"/>
    <xf numFmtId="4" fontId="4" fillId="5" borderId="60" xfId="0" applyNumberFormat="1" applyFont="1" applyFill="1" applyBorder="1"/>
    <xf numFmtId="0" fontId="4" fillId="22" borderId="7" xfId="0" applyFont="1" applyFill="1" applyBorder="1"/>
    <xf numFmtId="44" fontId="25" fillId="22" borderId="7" xfId="0" applyNumberFormat="1" applyFont="1" applyFill="1" applyBorder="1"/>
    <xf numFmtId="44" fontId="46" fillId="27" borderId="82" xfId="46" applyFont="1" applyFill="1" applyBorder="1" applyAlignment="1">
      <alignment horizontal="center" vertical="center" wrapText="1"/>
    </xf>
    <xf numFmtId="44" fontId="47" fillId="0" borderId="82" xfId="46" applyFont="1" applyFill="1" applyBorder="1" applyAlignment="1">
      <alignment horizontal="center" vertical="center" wrapText="1"/>
    </xf>
    <xf numFmtId="44" fontId="0" fillId="0" borderId="0" xfId="46" applyFont="1" applyBorder="1" applyAlignment="1">
      <alignment vertical="center"/>
    </xf>
    <xf numFmtId="166" fontId="34" fillId="23" borderId="14" xfId="0" applyNumberFormat="1" applyFont="1" applyFill="1" applyBorder="1"/>
    <xf numFmtId="44" fontId="4" fillId="6" borderId="7" xfId="46" applyFont="1" applyFill="1" applyBorder="1" applyAlignment="1">
      <alignment horizontal="center"/>
    </xf>
    <xf numFmtId="0" fontId="4" fillId="23" borderId="7" xfId="0" applyFont="1" applyFill="1" applyBorder="1" applyAlignment="1">
      <alignment horizontal="center"/>
    </xf>
    <xf numFmtId="3" fontId="0" fillId="0" borderId="14" xfId="0" applyNumberFormat="1" applyBorder="1"/>
    <xf numFmtId="3" fontId="0" fillId="0" borderId="46" xfId="0" applyNumberFormat="1" applyBorder="1"/>
    <xf numFmtId="3" fontId="0" fillId="0" borderId="71" xfId="0" applyNumberFormat="1" applyBorder="1"/>
    <xf numFmtId="3" fontId="0" fillId="16" borderId="46" xfId="0" applyNumberFormat="1" applyFill="1" applyBorder="1"/>
    <xf numFmtId="3" fontId="0" fillId="16" borderId="52" xfId="0" applyNumberFormat="1" applyFill="1" applyBorder="1"/>
    <xf numFmtId="3" fontId="24" fillId="16" borderId="52" xfId="0" applyNumberFormat="1" applyFont="1" applyFill="1" applyBorder="1"/>
    <xf numFmtId="3" fontId="4" fillId="25" borderId="89" xfId="0" applyNumberFormat="1" applyFont="1" applyFill="1" applyBorder="1"/>
    <xf numFmtId="3" fontId="4" fillId="25" borderId="90" xfId="0" applyNumberFormat="1" applyFont="1" applyFill="1" applyBorder="1"/>
    <xf numFmtId="3" fontId="4" fillId="25" borderId="91" xfId="0" applyNumberFormat="1" applyFont="1" applyFill="1" applyBorder="1"/>
    <xf numFmtId="3" fontId="4" fillId="0" borderId="52" xfId="0" applyNumberFormat="1" applyFont="1" applyBorder="1"/>
    <xf numFmtId="3" fontId="24" fillId="0" borderId="52" xfId="0" applyNumberFormat="1" applyFont="1" applyBorder="1"/>
    <xf numFmtId="176" fontId="0" fillId="0" borderId="52" xfId="0" applyNumberFormat="1" applyBorder="1"/>
    <xf numFmtId="3" fontId="24" fillId="0" borderId="46" xfId="0" applyNumberFormat="1" applyFont="1" applyBorder="1"/>
    <xf numFmtId="3" fontId="0" fillId="0" borderId="11" xfId="0" applyNumberFormat="1" applyBorder="1"/>
    <xf numFmtId="0" fontId="0" fillId="0" borderId="59" xfId="0" applyBorder="1"/>
    <xf numFmtId="3" fontId="4" fillId="25" borderId="13" xfId="0" applyNumberFormat="1" applyFont="1" applyFill="1" applyBorder="1"/>
    <xf numFmtId="3" fontId="4" fillId="25" borderId="14" xfId="0" applyNumberFormat="1" applyFont="1" applyFill="1" applyBorder="1"/>
    <xf numFmtId="3" fontId="4" fillId="25" borderId="78" xfId="0" applyNumberFormat="1" applyFont="1" applyFill="1" applyBorder="1"/>
    <xf numFmtId="3" fontId="4" fillId="0" borderId="7" xfId="0" applyNumberFormat="1" applyFont="1" applyBorder="1"/>
    <xf numFmtId="3" fontId="0" fillId="16" borderId="48" xfId="0" applyNumberFormat="1" applyFill="1" applyBorder="1"/>
    <xf numFmtId="3" fontId="0" fillId="16" borderId="67" xfId="0" applyNumberFormat="1" applyFill="1" applyBorder="1"/>
    <xf numFmtId="3" fontId="0" fillId="16" borderId="71" xfId="0" applyNumberFormat="1" applyFill="1" applyBorder="1"/>
    <xf numFmtId="3" fontId="0" fillId="16" borderId="59" xfId="0" applyNumberFormat="1" applyFill="1" applyBorder="1"/>
    <xf numFmtId="166" fontId="28" fillId="2" borderId="28" xfId="0" applyNumberFormat="1" applyFont="1" applyFill="1" applyBorder="1" applyAlignment="1">
      <alignment horizontal="center" vertical="center"/>
    </xf>
    <xf numFmtId="0" fontId="28" fillId="2" borderId="40" xfId="0" applyFont="1" applyFill="1" applyBorder="1" applyAlignment="1">
      <alignment horizontal="center"/>
    </xf>
    <xf numFmtId="166" fontId="31" fillId="0" borderId="21" xfId="0" applyNumberFormat="1" applyFont="1" applyBorder="1"/>
    <xf numFmtId="166" fontId="31" fillId="0" borderId="8" xfId="0" applyNumberFormat="1" applyFont="1" applyBorder="1" applyAlignment="1">
      <alignment horizontal="center"/>
    </xf>
    <xf numFmtId="166" fontId="31" fillId="0" borderId="31" xfId="0" applyNumberFormat="1" applyFont="1" applyBorder="1"/>
    <xf numFmtId="166" fontId="31" fillId="0" borderId="5" xfId="0" applyNumberFormat="1" applyFont="1" applyBorder="1" applyAlignment="1">
      <alignment horizontal="center"/>
    </xf>
    <xf numFmtId="166" fontId="31" fillId="0" borderId="47" xfId="0" applyNumberFormat="1" applyFont="1" applyBorder="1"/>
    <xf numFmtId="44" fontId="25" fillId="0" borderId="8" xfId="0" applyNumberFormat="1" applyFont="1" applyBorder="1"/>
    <xf numFmtId="10" fontId="25" fillId="0" borderId="23" xfId="47" applyNumberFormat="1" applyFont="1" applyBorder="1" applyAlignment="1">
      <alignment horizontal="center"/>
    </xf>
    <xf numFmtId="44" fontId="24" fillId="5" borderId="5" xfId="0" applyNumberFormat="1" applyFont="1" applyFill="1" applyBorder="1"/>
    <xf numFmtId="10" fontId="24" fillId="5" borderId="32" xfId="47" applyNumberFormat="1" applyFont="1" applyFill="1" applyBorder="1" applyAlignment="1">
      <alignment horizontal="center"/>
    </xf>
    <xf numFmtId="44" fontId="24" fillId="23" borderId="5" xfId="0" applyNumberFormat="1" applyFont="1" applyFill="1" applyBorder="1"/>
    <xf numFmtId="10" fontId="24" fillId="23" borderId="32" xfId="47" applyNumberFormat="1" applyFont="1" applyFill="1" applyBorder="1" applyAlignment="1">
      <alignment horizontal="center"/>
    </xf>
    <xf numFmtId="166" fontId="0" fillId="0" borderId="93" xfId="0" applyNumberFormat="1" applyBorder="1"/>
    <xf numFmtId="44" fontId="41" fillId="3" borderId="94" xfId="46" applyFont="1" applyFill="1" applyBorder="1" applyAlignment="1">
      <alignment horizontal="center" vertical="center" wrapText="1"/>
    </xf>
    <xf numFmtId="4" fontId="0" fillId="0" borderId="93" xfId="0" applyNumberFormat="1" applyBorder="1"/>
    <xf numFmtId="182" fontId="44" fillId="0" borderId="95" xfId="0" applyNumberFormat="1" applyFont="1" applyBorder="1" applyAlignment="1">
      <alignment horizontal="right" vertical="top" wrapText="1"/>
    </xf>
    <xf numFmtId="166" fontId="0" fillId="0" borderId="95" xfId="0" applyNumberFormat="1" applyBorder="1"/>
    <xf numFmtId="44" fontId="46" fillId="27" borderId="101" xfId="46" applyFont="1" applyFill="1" applyBorder="1" applyAlignment="1">
      <alignment horizontal="center" vertical="center" wrapText="1"/>
    </xf>
    <xf numFmtId="44" fontId="41" fillId="27" borderId="101" xfId="46" applyFont="1" applyFill="1" applyBorder="1" applyAlignment="1">
      <alignment horizontal="center" vertical="center" wrapText="1"/>
    </xf>
    <xf numFmtId="44" fontId="41" fillId="3" borderId="102" xfId="46" applyFont="1" applyFill="1" applyBorder="1" applyAlignment="1">
      <alignment horizontal="center" vertical="center" wrapText="1"/>
    </xf>
    <xf numFmtId="44" fontId="44" fillId="0" borderId="107" xfId="46" applyFont="1" applyFill="1" applyBorder="1" applyAlignment="1">
      <alignment horizontal="center" vertical="center" wrapText="1"/>
    </xf>
    <xf numFmtId="44" fontId="44" fillId="0" borderId="110" xfId="46" applyFont="1" applyFill="1" applyBorder="1" applyAlignment="1">
      <alignment horizontal="center" vertical="center" wrapText="1"/>
    </xf>
    <xf numFmtId="44" fontId="47" fillId="0" borderId="110" xfId="46" applyFont="1" applyFill="1" applyBorder="1" applyAlignment="1">
      <alignment horizontal="center" vertical="center" wrapText="1"/>
    </xf>
    <xf numFmtId="44" fontId="45" fillId="0" borderId="110" xfId="46" applyFont="1" applyFill="1" applyBorder="1" applyAlignment="1">
      <alignment horizontal="center" vertical="center" wrapText="1"/>
    </xf>
    <xf numFmtId="44" fontId="41" fillId="3" borderId="115" xfId="46" applyFont="1" applyFill="1" applyBorder="1" applyAlignment="1">
      <alignment horizontal="center" vertical="center" wrapText="1"/>
    </xf>
    <xf numFmtId="44" fontId="46" fillId="3" borderId="115" xfId="46" applyFont="1" applyFill="1" applyBorder="1" applyAlignment="1">
      <alignment horizontal="center" vertical="center" wrapText="1"/>
    </xf>
    <xf numFmtId="44" fontId="41" fillId="3" borderId="116" xfId="46" applyFont="1" applyFill="1" applyBorder="1" applyAlignment="1">
      <alignment horizontal="center" vertical="center" wrapText="1"/>
    </xf>
    <xf numFmtId="0" fontId="42" fillId="3" borderId="115" xfId="0" applyFont="1" applyFill="1" applyBorder="1" applyAlignment="1">
      <alignment horizontal="center" vertical="center" wrapText="1"/>
    </xf>
    <xf numFmtId="0" fontId="4" fillId="3" borderId="115" xfId="0" applyFont="1" applyFill="1" applyBorder="1" applyAlignment="1">
      <alignment horizontal="center" vertical="center" wrapText="1"/>
    </xf>
    <xf numFmtId="0" fontId="42" fillId="3" borderId="116" xfId="0" applyFont="1" applyFill="1" applyBorder="1" applyAlignment="1">
      <alignment horizontal="center" vertical="center" wrapText="1"/>
    </xf>
    <xf numFmtId="44" fontId="3" fillId="0" borderId="0" xfId="46" applyFont="1"/>
    <xf numFmtId="166" fontId="3" fillId="0" borderId="0" xfId="0" applyNumberFormat="1" applyFont="1"/>
    <xf numFmtId="3" fontId="28" fillId="23" borderId="0" xfId="0" applyNumberFormat="1" applyFont="1" applyFill="1"/>
    <xf numFmtId="3" fontId="49" fillId="0" borderId="0" xfId="0" applyNumberFormat="1" applyFont="1" applyAlignment="1">
      <alignment horizontal="center" vertical="center"/>
    </xf>
    <xf numFmtId="0" fontId="25" fillId="0" borderId="0" xfId="0" applyFont="1"/>
    <xf numFmtId="166" fontId="0" fillId="0" borderId="31" xfId="0" applyNumberFormat="1" applyBorder="1"/>
    <xf numFmtId="166" fontId="0" fillId="0" borderId="47" xfId="0" applyNumberFormat="1" applyBorder="1"/>
    <xf numFmtId="44" fontId="0" fillId="0" borderId="72" xfId="46" applyFont="1" applyBorder="1"/>
    <xf numFmtId="166" fontId="4" fillId="2" borderId="31" xfId="0" applyNumberFormat="1" applyFont="1" applyFill="1" applyBorder="1"/>
    <xf numFmtId="44" fontId="4" fillId="2" borderId="32" xfId="46" applyFont="1" applyFill="1" applyBorder="1" applyAlignment="1">
      <alignment horizontal="right"/>
    </xf>
    <xf numFmtId="44" fontId="0" fillId="0" borderId="82" xfId="46" applyFont="1" applyBorder="1"/>
    <xf numFmtId="166" fontId="0" fillId="0" borderId="45" xfId="0" applyNumberFormat="1" applyBorder="1"/>
    <xf numFmtId="166" fontId="27" fillId="31" borderId="7" xfId="0" applyNumberFormat="1" applyFont="1" applyFill="1" applyBorder="1"/>
    <xf numFmtId="166" fontId="56" fillId="32" borderId="7" xfId="0" applyNumberFormat="1" applyFont="1" applyFill="1" applyBorder="1"/>
    <xf numFmtId="166" fontId="28" fillId="23" borderId="0" xfId="0" applyNumberFormat="1" applyFont="1" applyFill="1"/>
    <xf numFmtId="166" fontId="31" fillId="23" borderId="0" xfId="0" applyNumberFormat="1" applyFont="1" applyFill="1"/>
    <xf numFmtId="166" fontId="27" fillId="31" borderId="45" xfId="0" applyNumberFormat="1" applyFont="1" applyFill="1" applyBorder="1"/>
    <xf numFmtId="10" fontId="27" fillId="31" borderId="60" xfId="47" applyNumberFormat="1" applyFont="1" applyFill="1" applyBorder="1" applyAlignment="1">
      <alignment horizontal="center"/>
    </xf>
    <xf numFmtId="10" fontId="0" fillId="0" borderId="68" xfId="47" applyNumberFormat="1" applyFont="1" applyBorder="1" applyAlignment="1">
      <alignment horizontal="center"/>
    </xf>
    <xf numFmtId="10" fontId="0" fillId="0" borderId="66" xfId="47" applyNumberFormat="1" applyFont="1" applyBorder="1" applyAlignment="1">
      <alignment horizontal="center"/>
    </xf>
    <xf numFmtId="10" fontId="56" fillId="32" borderId="60" xfId="47" applyNumberFormat="1" applyFont="1" applyFill="1" applyBorder="1" applyAlignment="1">
      <alignment horizontal="center"/>
    </xf>
    <xf numFmtId="44" fontId="27" fillId="31" borderId="7" xfId="46" applyFont="1" applyFill="1" applyBorder="1" applyAlignment="1">
      <alignment horizontal="center"/>
    </xf>
    <xf numFmtId="44" fontId="0" fillId="0" borderId="51" xfId="46" applyFont="1" applyBorder="1" applyAlignment="1">
      <alignment horizontal="center"/>
    </xf>
    <xf numFmtId="44" fontId="0" fillId="0" borderId="45" xfId="46" applyFont="1" applyBorder="1" applyAlignment="1">
      <alignment horizontal="center"/>
    </xf>
    <xf numFmtId="44" fontId="56" fillId="32" borderId="7" xfId="46" applyFont="1" applyFill="1" applyBorder="1" applyAlignment="1">
      <alignment horizontal="center"/>
    </xf>
    <xf numFmtId="44" fontId="0" fillId="0" borderId="38" xfId="46" applyFont="1" applyBorder="1" applyAlignment="1">
      <alignment horizontal="center"/>
    </xf>
    <xf numFmtId="166" fontId="4" fillId="3" borderId="62" xfId="0" applyNumberFormat="1" applyFont="1" applyFill="1" applyBorder="1" applyAlignment="1">
      <alignment horizontal="center"/>
    </xf>
    <xf numFmtId="10" fontId="27" fillId="31" borderId="66" xfId="47" applyNumberFormat="1" applyFont="1" applyFill="1" applyBorder="1" applyAlignment="1">
      <alignment horizontal="center"/>
    </xf>
    <xf numFmtId="166" fontId="4" fillId="3" borderId="37" xfId="0" applyNumberFormat="1" applyFont="1" applyFill="1" applyBorder="1" applyAlignment="1">
      <alignment horizontal="center"/>
    </xf>
    <xf numFmtId="44" fontId="27" fillId="31" borderId="45" xfId="46" applyFont="1" applyFill="1" applyBorder="1" applyAlignment="1">
      <alignment horizontal="center"/>
    </xf>
    <xf numFmtId="166" fontId="0" fillId="30" borderId="118" xfId="0" applyNumberFormat="1" applyFill="1" applyBorder="1"/>
    <xf numFmtId="166" fontId="4" fillId="30" borderId="118" xfId="0" applyNumberFormat="1" applyFont="1" applyFill="1" applyBorder="1"/>
    <xf numFmtId="166" fontId="8" fillId="30" borderId="118" xfId="0" applyNumberFormat="1" applyFont="1" applyFill="1" applyBorder="1"/>
    <xf numFmtId="166" fontId="0" fillId="30" borderId="117" xfId="0" applyNumberFormat="1" applyFill="1" applyBorder="1"/>
    <xf numFmtId="166" fontId="0" fillId="30" borderId="119" xfId="0" applyNumberFormat="1" applyFill="1" applyBorder="1"/>
    <xf numFmtId="166" fontId="56" fillId="30" borderId="75" xfId="0" applyNumberFormat="1" applyFont="1" applyFill="1" applyBorder="1"/>
    <xf numFmtId="166" fontId="4" fillId="30" borderId="84" xfId="0" applyNumberFormat="1" applyFont="1" applyFill="1" applyBorder="1" applyAlignment="1">
      <alignment horizontal="center"/>
    </xf>
    <xf numFmtId="10" fontId="3" fillId="30" borderId="121" xfId="47" applyNumberFormat="1" applyFont="1" applyFill="1" applyBorder="1" applyAlignment="1">
      <alignment horizontal="center"/>
    </xf>
    <xf numFmtId="166" fontId="4" fillId="30" borderId="75" xfId="0" applyNumberFormat="1" applyFont="1" applyFill="1" applyBorder="1" applyAlignment="1">
      <alignment horizontal="center"/>
    </xf>
    <xf numFmtId="44" fontId="3" fillId="30" borderId="118" xfId="46" applyFont="1" applyFill="1" applyBorder="1" applyAlignment="1">
      <alignment horizontal="center"/>
    </xf>
    <xf numFmtId="44" fontId="4" fillId="30" borderId="118" xfId="46" applyFont="1" applyFill="1" applyBorder="1" applyAlignment="1">
      <alignment horizontal="center"/>
    </xf>
    <xf numFmtId="44" fontId="0" fillId="30" borderId="118" xfId="46" applyFont="1" applyFill="1" applyBorder="1" applyAlignment="1">
      <alignment horizontal="center"/>
    </xf>
    <xf numFmtId="44" fontId="8" fillId="30" borderId="118" xfId="46" applyFont="1" applyFill="1" applyBorder="1"/>
    <xf numFmtId="44" fontId="0" fillId="30" borderId="118" xfId="46" applyFont="1" applyFill="1" applyBorder="1"/>
    <xf numFmtId="10" fontId="25" fillId="30" borderId="120" xfId="47" applyNumberFormat="1" applyFont="1" applyFill="1" applyBorder="1" applyAlignment="1">
      <alignment horizontal="center" vertical="center"/>
    </xf>
    <xf numFmtId="10" fontId="25" fillId="30" borderId="121" xfId="47" applyNumberFormat="1" applyFont="1" applyFill="1" applyBorder="1" applyAlignment="1">
      <alignment horizontal="center" vertical="center"/>
    </xf>
    <xf numFmtId="10" fontId="24" fillId="30" borderId="121" xfId="47" applyNumberFormat="1" applyFont="1" applyFill="1" applyBorder="1" applyAlignment="1">
      <alignment horizontal="center" vertical="center"/>
    </xf>
    <xf numFmtId="10" fontId="24" fillId="30" borderId="122" xfId="47" applyNumberFormat="1" applyFont="1" applyFill="1" applyBorder="1" applyAlignment="1">
      <alignment horizontal="center" vertical="center"/>
    </xf>
    <xf numFmtId="10" fontId="56" fillId="30" borderId="84" xfId="47" applyNumberFormat="1" applyFont="1" applyFill="1" applyBorder="1" applyAlignment="1">
      <alignment horizontal="center"/>
    </xf>
    <xf numFmtId="44" fontId="3" fillId="30" borderId="117" xfId="46" applyFont="1" applyFill="1" applyBorder="1" applyAlignment="1">
      <alignment horizontal="center"/>
    </xf>
    <xf numFmtId="44" fontId="3" fillId="30" borderId="118" xfId="46" applyFont="1" applyFill="1" applyBorder="1"/>
    <xf numFmtId="44" fontId="0" fillId="30" borderId="119" xfId="46" applyFont="1" applyFill="1" applyBorder="1"/>
    <xf numFmtId="44" fontId="56" fillId="30" borderId="75" xfId="46" applyFont="1" applyFill="1" applyBorder="1" applyAlignment="1">
      <alignment horizontal="center"/>
    </xf>
    <xf numFmtId="0" fontId="4" fillId="30" borderId="75" xfId="0" applyFont="1" applyFill="1" applyBorder="1" applyAlignment="1">
      <alignment horizontal="center"/>
    </xf>
    <xf numFmtId="0" fontId="28" fillId="29" borderId="14" xfId="0" applyFont="1" applyFill="1" applyBorder="1"/>
    <xf numFmtId="166" fontId="4" fillId="0" borderId="0" xfId="0" applyNumberFormat="1" applyFont="1" applyAlignment="1">
      <alignment horizontal="left" wrapText="1"/>
    </xf>
    <xf numFmtId="0" fontId="4" fillId="14" borderId="7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14" borderId="43" xfId="0" applyFont="1" applyFill="1" applyBorder="1" applyAlignment="1">
      <alignment horizontal="left"/>
    </xf>
    <xf numFmtId="0" fontId="4" fillId="14" borderId="7" xfId="0" applyFont="1" applyFill="1" applyBorder="1" applyAlignment="1">
      <alignment horizontal="left"/>
    </xf>
    <xf numFmtId="4" fontId="4" fillId="33" borderId="60" xfId="0" applyNumberFormat="1" applyFont="1" applyFill="1" applyBorder="1"/>
    <xf numFmtId="3" fontId="58" fillId="34" borderId="46" xfId="0" applyNumberFormat="1" applyFont="1" applyFill="1" applyBorder="1" applyAlignment="1">
      <alignment horizontal="center"/>
    </xf>
    <xf numFmtId="3" fontId="58" fillId="24" borderId="46" xfId="0" applyNumberFormat="1" applyFont="1" applyFill="1" applyBorder="1" applyAlignment="1">
      <alignment horizontal="center"/>
    </xf>
    <xf numFmtId="166" fontId="4" fillId="33" borderId="7" xfId="0" applyNumberFormat="1" applyFont="1" applyFill="1" applyBorder="1" applyAlignment="1">
      <alignment wrapText="1"/>
    </xf>
    <xf numFmtId="166" fontId="4" fillId="33" borderId="7" xfId="0" applyNumberFormat="1" applyFont="1" applyFill="1" applyBorder="1" applyAlignment="1">
      <alignment horizontal="center"/>
    </xf>
    <xf numFmtId="4" fontId="4" fillId="33" borderId="16" xfId="0" applyNumberFormat="1" applyFont="1" applyFill="1" applyBorder="1"/>
    <xf numFmtId="4" fontId="4" fillId="33" borderId="17" xfId="0" applyNumberFormat="1" applyFont="1" applyFill="1" applyBorder="1"/>
    <xf numFmtId="4" fontId="4" fillId="33" borderId="18" xfId="0" applyNumberFormat="1" applyFont="1" applyFill="1" applyBorder="1"/>
    <xf numFmtId="4" fontId="4" fillId="33" borderId="7" xfId="0" applyNumberFormat="1" applyFont="1" applyFill="1" applyBorder="1" applyAlignment="1">
      <alignment wrapText="1"/>
    </xf>
    <xf numFmtId="4" fontId="4" fillId="33" borderId="7" xfId="0" applyNumberFormat="1" applyFont="1" applyFill="1" applyBorder="1" applyAlignment="1">
      <alignment horizontal="center" wrapText="1"/>
    </xf>
    <xf numFmtId="0" fontId="0" fillId="6" borderId="37" xfId="0" applyFill="1" applyBorder="1"/>
    <xf numFmtId="0" fontId="0" fillId="23" borderId="38" xfId="0" applyFill="1" applyBorder="1"/>
    <xf numFmtId="0" fontId="0" fillId="6" borderId="39" xfId="0" applyFill="1" applyBorder="1"/>
    <xf numFmtId="0" fontId="0" fillId="6" borderId="37" xfId="0" applyFill="1" applyBorder="1" applyAlignment="1">
      <alignment horizontal="center"/>
    </xf>
    <xf numFmtId="0" fontId="0" fillId="23" borderId="38" xfId="0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4" fontId="0" fillId="6" borderId="37" xfId="0" applyNumberFormat="1" applyFill="1" applyBorder="1"/>
    <xf numFmtId="4" fontId="0" fillId="23" borderId="38" xfId="0" applyNumberFormat="1" applyFill="1" applyBorder="1"/>
    <xf numFmtId="4" fontId="0" fillId="6" borderId="39" xfId="0" applyNumberFormat="1" applyFill="1" applyBorder="1"/>
    <xf numFmtId="4" fontId="4" fillId="23" borderId="38" xfId="0" applyNumberFormat="1" applyFont="1" applyFill="1" applyBorder="1"/>
    <xf numFmtId="4" fontId="4" fillId="6" borderId="39" xfId="0" applyNumberFormat="1" applyFont="1" applyFill="1" applyBorder="1"/>
    <xf numFmtId="4" fontId="4" fillId="6" borderId="62" xfId="0" applyNumberFormat="1" applyFont="1" applyFill="1" applyBorder="1"/>
    <xf numFmtId="4" fontId="4" fillId="23" borderId="63" xfId="0" applyNumberFormat="1" applyFont="1" applyFill="1" applyBorder="1"/>
    <xf numFmtId="4" fontId="4" fillId="6" borderId="64" xfId="0" applyNumberFormat="1" applyFont="1" applyFill="1" applyBorder="1"/>
    <xf numFmtId="4" fontId="0" fillId="23" borderId="5" xfId="0" applyNumberFormat="1" applyFill="1" applyBorder="1"/>
    <xf numFmtId="0" fontId="0" fillId="6" borderId="45" xfId="0" applyFill="1" applyBorder="1"/>
    <xf numFmtId="4" fontId="4" fillId="6" borderId="66" xfId="0" applyNumberFormat="1" applyFont="1" applyFill="1" applyBorder="1"/>
    <xf numFmtId="4" fontId="0" fillId="6" borderId="8" xfId="0" applyNumberFormat="1" applyFill="1" applyBorder="1"/>
    <xf numFmtId="166" fontId="31" fillId="0" borderId="7" xfId="0" applyNumberFormat="1" applyFont="1" applyBorder="1" applyAlignment="1">
      <alignment horizontal="center"/>
    </xf>
    <xf numFmtId="3" fontId="29" fillId="6" borderId="16" xfId="0" applyNumberFormat="1" applyFont="1" applyFill="1" applyBorder="1" applyAlignment="1">
      <alignment horizontal="center"/>
    </xf>
    <xf numFmtId="3" fontId="29" fillId="6" borderId="17" xfId="0" applyNumberFormat="1" applyFont="1" applyFill="1" applyBorder="1" applyAlignment="1">
      <alignment horizontal="center"/>
    </xf>
    <xf numFmtId="3" fontId="29" fillId="6" borderId="18" xfId="0" applyNumberFormat="1" applyFont="1" applyFill="1" applyBorder="1" applyAlignment="1">
      <alignment horizontal="center"/>
    </xf>
    <xf numFmtId="4" fontId="0" fillId="23" borderId="4" xfId="0" applyNumberFormat="1" applyFill="1" applyBorder="1"/>
    <xf numFmtId="4" fontId="4" fillId="33" borderId="60" xfId="0" applyNumberFormat="1" applyFont="1" applyFill="1" applyBorder="1" applyAlignment="1">
      <alignment wrapText="1"/>
    </xf>
    <xf numFmtId="0" fontId="0" fillId="6" borderId="51" xfId="0" applyFill="1" applyBorder="1" applyAlignment="1">
      <alignment horizontal="center"/>
    </xf>
    <xf numFmtId="0" fontId="0" fillId="6" borderId="45" xfId="0" applyFill="1" applyBorder="1" applyAlignment="1">
      <alignment horizontal="center"/>
    </xf>
    <xf numFmtId="49" fontId="35" fillId="16" borderId="7" xfId="0" applyNumberFormat="1" applyFont="1" applyFill="1" applyBorder="1" applyAlignment="1">
      <alignment horizontal="center"/>
    </xf>
    <xf numFmtId="4" fontId="0" fillId="6" borderId="51" xfId="0" applyNumberFormat="1" applyFill="1" applyBorder="1"/>
    <xf numFmtId="4" fontId="0" fillId="6" borderId="45" xfId="0" applyNumberFormat="1" applyFill="1" applyBorder="1"/>
    <xf numFmtId="4" fontId="0" fillId="6" borderId="23" xfId="0" applyNumberFormat="1" applyFill="1" applyBorder="1"/>
    <xf numFmtId="4" fontId="0" fillId="23" borderId="32" xfId="0" applyNumberFormat="1" applyFill="1" applyBorder="1"/>
    <xf numFmtId="4" fontId="0" fillId="6" borderId="123" xfId="0" applyNumberFormat="1" applyFill="1" applyBorder="1"/>
    <xf numFmtId="4" fontId="0" fillId="6" borderId="28" xfId="0" applyNumberFormat="1" applyFill="1" applyBorder="1"/>
    <xf numFmtId="4" fontId="0" fillId="6" borderId="29" xfId="0" applyNumberFormat="1" applyFill="1" applyBorder="1"/>
    <xf numFmtId="4" fontId="0" fillId="6" borderId="40" xfId="0" applyNumberFormat="1" applyFill="1" applyBorder="1"/>
    <xf numFmtId="4" fontId="0" fillId="6" borderId="72" xfId="0" applyNumberFormat="1" applyFill="1" applyBorder="1"/>
    <xf numFmtId="0" fontId="54" fillId="29" borderId="14" xfId="0" applyFont="1" applyFill="1" applyBorder="1"/>
    <xf numFmtId="4" fontId="0" fillId="6" borderId="42" xfId="0" applyNumberFormat="1" applyFill="1" applyBorder="1"/>
    <xf numFmtId="4" fontId="4" fillId="33" borderId="7" xfId="0" applyNumberFormat="1" applyFont="1" applyFill="1" applyBorder="1"/>
    <xf numFmtId="3" fontId="55" fillId="18" borderId="13" xfId="0" applyNumberFormat="1" applyFont="1" applyFill="1" applyBorder="1"/>
    <xf numFmtId="166" fontId="0" fillId="0" borderId="7" xfId="0" applyNumberFormat="1" applyBorder="1" applyAlignment="1">
      <alignment horizontal="left" wrapText="1"/>
    </xf>
    <xf numFmtId="4" fontId="0" fillId="23" borderId="63" xfId="0" applyNumberFormat="1" applyFill="1" applyBorder="1"/>
    <xf numFmtId="4" fontId="4" fillId="23" borderId="68" xfId="0" applyNumberFormat="1" applyFont="1" applyFill="1" applyBorder="1"/>
    <xf numFmtId="0" fontId="4" fillId="18" borderId="67" xfId="0" applyFont="1" applyFill="1" applyBorder="1" applyAlignment="1">
      <alignment horizontal="center"/>
    </xf>
    <xf numFmtId="3" fontId="58" fillId="18" borderId="7" xfId="0" applyNumberFormat="1" applyFont="1" applyFill="1" applyBorder="1" applyAlignment="1">
      <alignment horizontal="center"/>
    </xf>
    <xf numFmtId="3" fontId="58" fillId="24" borderId="7" xfId="0" applyNumberFormat="1" applyFont="1" applyFill="1" applyBorder="1" applyAlignment="1">
      <alignment horizontal="center"/>
    </xf>
    <xf numFmtId="166" fontId="4" fillId="33" borderId="7" xfId="0" applyNumberFormat="1" applyFont="1" applyFill="1" applyBorder="1" applyAlignment="1">
      <alignment horizontal="center" vertical="center"/>
    </xf>
    <xf numFmtId="4" fontId="4" fillId="33" borderId="7" xfId="0" applyNumberFormat="1" applyFont="1" applyFill="1" applyBorder="1" applyAlignment="1">
      <alignment vertical="center"/>
    </xf>
    <xf numFmtId="4" fontId="4" fillId="33" borderId="60" xfId="0" applyNumberFormat="1" applyFont="1" applyFill="1" applyBorder="1" applyAlignment="1">
      <alignment vertical="center"/>
    </xf>
    <xf numFmtId="0" fontId="4" fillId="24" borderId="0" xfId="0" applyFont="1" applyFill="1" applyAlignment="1">
      <alignment horizontal="right"/>
    </xf>
    <xf numFmtId="0" fontId="0" fillId="0" borderId="46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53" xfId="0" applyBorder="1" applyAlignment="1">
      <alignment horizontal="center"/>
    </xf>
    <xf numFmtId="0" fontId="60" fillId="0" borderId="46" xfId="0" applyFont="1" applyBorder="1" applyAlignment="1">
      <alignment horizontal="center"/>
    </xf>
    <xf numFmtId="0" fontId="60" fillId="0" borderId="59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60" xfId="0" applyFont="1" applyFill="1" applyBorder="1" applyAlignment="1">
      <alignment horizontal="center"/>
    </xf>
    <xf numFmtId="0" fontId="60" fillId="0" borderId="67" xfId="0" applyFont="1" applyBorder="1" applyAlignment="1">
      <alignment horizontal="center"/>
    </xf>
    <xf numFmtId="0" fontId="4" fillId="2" borderId="0" xfId="0" applyFont="1" applyFill="1"/>
    <xf numFmtId="3" fontId="4" fillId="21" borderId="0" xfId="0" applyNumberFormat="1" applyFont="1" applyFill="1" applyAlignment="1">
      <alignment horizontal="right"/>
    </xf>
    <xf numFmtId="0" fontId="4" fillId="18" borderId="7" xfId="0" applyFont="1" applyFill="1" applyBorder="1" applyAlignment="1">
      <alignment horizontal="center"/>
    </xf>
    <xf numFmtId="4" fontId="0" fillId="23" borderId="124" xfId="0" applyNumberFormat="1" applyFill="1" applyBorder="1"/>
    <xf numFmtId="4" fontId="4" fillId="33" borderId="14" xfId="0" applyNumberFormat="1" applyFont="1" applyFill="1" applyBorder="1"/>
    <xf numFmtId="4" fontId="0" fillId="23" borderId="9" xfId="0" applyNumberFormat="1" applyFill="1" applyBorder="1"/>
    <xf numFmtId="4" fontId="4" fillId="33" borderId="14" xfId="0" applyNumberFormat="1" applyFont="1" applyFill="1" applyBorder="1" applyAlignment="1">
      <alignment wrapText="1"/>
    </xf>
    <xf numFmtId="3" fontId="58" fillId="18" borderId="60" xfId="0" applyNumberFormat="1" applyFont="1" applyFill="1" applyBorder="1" applyAlignment="1">
      <alignment horizontal="center"/>
    </xf>
    <xf numFmtId="4" fontId="4" fillId="23" borderId="51" xfId="0" applyNumberFormat="1" applyFont="1" applyFill="1" applyBorder="1"/>
    <xf numFmtId="3" fontId="58" fillId="34" borderId="7" xfId="0" applyNumberFormat="1" applyFont="1" applyFill="1" applyBorder="1" applyAlignment="1">
      <alignment horizontal="center"/>
    </xf>
    <xf numFmtId="166" fontId="4" fillId="25" borderId="7" xfId="0" applyNumberFormat="1" applyFont="1" applyFill="1" applyBorder="1" applyAlignment="1">
      <alignment wrapText="1"/>
    </xf>
    <xf numFmtId="166" fontId="4" fillId="25" borderId="7" xfId="0" applyNumberFormat="1" applyFont="1" applyFill="1" applyBorder="1" applyAlignment="1">
      <alignment horizontal="center" vertical="center"/>
    </xf>
    <xf numFmtId="4" fontId="4" fillId="25" borderId="7" xfId="0" applyNumberFormat="1" applyFont="1" applyFill="1" applyBorder="1" applyAlignment="1">
      <alignment vertical="center"/>
    </xf>
    <xf numFmtId="3" fontId="4" fillId="24" borderId="0" xfId="0" applyNumberFormat="1" applyFont="1" applyFill="1" applyAlignment="1">
      <alignment horizontal="right"/>
    </xf>
    <xf numFmtId="4" fontId="0" fillId="24" borderId="0" xfId="0" applyNumberFormat="1" applyFill="1" applyAlignment="1">
      <alignment horizontal="right"/>
    </xf>
    <xf numFmtId="4" fontId="0" fillId="21" borderId="0" xfId="0" applyNumberFormat="1" applyFill="1" applyAlignment="1">
      <alignment horizontal="right"/>
    </xf>
    <xf numFmtId="4" fontId="25" fillId="2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center"/>
    </xf>
    <xf numFmtId="10" fontId="4" fillId="2" borderId="0" xfId="0" applyNumberFormat="1" applyFont="1" applyFill="1" applyAlignment="1">
      <alignment horizontal="center"/>
    </xf>
    <xf numFmtId="0" fontId="0" fillId="0" borderId="7" xfId="0" applyBorder="1" applyAlignment="1">
      <alignment horizontal="center"/>
    </xf>
    <xf numFmtId="0" fontId="60" fillId="0" borderId="60" xfId="0" applyFont="1" applyBorder="1" applyAlignment="1">
      <alignment horizontal="center"/>
    </xf>
    <xf numFmtId="4" fontId="0" fillId="23" borderId="26" xfId="0" applyNumberFormat="1" applyFill="1" applyBorder="1"/>
    <xf numFmtId="4" fontId="0" fillId="23" borderId="28" xfId="0" applyNumberFormat="1" applyFill="1" applyBorder="1"/>
    <xf numFmtId="4" fontId="0" fillId="23" borderId="29" xfId="0" applyNumberFormat="1" applyFill="1" applyBorder="1"/>
    <xf numFmtId="4" fontId="0" fillId="23" borderId="31" xfId="0" applyNumberFormat="1" applyFill="1" applyBorder="1"/>
    <xf numFmtId="4" fontId="0" fillId="6" borderId="47" xfId="0" applyNumberFormat="1" applyFill="1" applyBorder="1"/>
    <xf numFmtId="2" fontId="4" fillId="2" borderId="0" xfId="0" applyNumberFormat="1" applyFont="1" applyFill="1" applyAlignment="1">
      <alignment horizontal="center"/>
    </xf>
    <xf numFmtId="44" fontId="4" fillId="2" borderId="0" xfId="46" applyFont="1" applyFill="1" applyAlignment="1">
      <alignment horizontal="center"/>
    </xf>
    <xf numFmtId="0" fontId="60" fillId="2" borderId="0" xfId="0" applyFont="1" applyFill="1"/>
    <xf numFmtId="0" fontId="4" fillId="25" borderId="7" xfId="0" applyFont="1" applyFill="1" applyBorder="1"/>
    <xf numFmtId="0" fontId="8" fillId="27" borderId="0" xfId="0" applyFont="1" applyFill="1"/>
    <xf numFmtId="44" fontId="8" fillId="27" borderId="0" xfId="0" applyNumberFormat="1" applyFont="1" applyFill="1"/>
    <xf numFmtId="0" fontId="53" fillId="0" borderId="0" xfId="0" applyFont="1"/>
    <xf numFmtId="0" fontId="62" fillId="5" borderId="13" xfId="0" applyFont="1" applyFill="1" applyBorder="1"/>
    <xf numFmtId="44" fontId="25" fillId="25" borderId="7" xfId="0" applyNumberFormat="1" applyFont="1" applyFill="1" applyBorder="1"/>
    <xf numFmtId="0" fontId="53" fillId="4" borderId="13" xfId="0" applyFont="1" applyFill="1" applyBorder="1"/>
    <xf numFmtId="0" fontId="53" fillId="4" borderId="14" xfId="0" applyFont="1" applyFill="1" applyBorder="1"/>
    <xf numFmtId="0" fontId="53" fillId="4" borderId="60" xfId="0" applyFont="1" applyFill="1" applyBorder="1"/>
    <xf numFmtId="166" fontId="4" fillId="25" borderId="15" xfId="0" applyNumberFormat="1" applyFont="1" applyFill="1" applyBorder="1" applyAlignment="1">
      <alignment horizontal="center" vertical="center"/>
    </xf>
    <xf numFmtId="4" fontId="4" fillId="25" borderId="17" xfId="0" applyNumberFormat="1" applyFont="1" applyFill="1" applyBorder="1" applyAlignment="1">
      <alignment vertical="center"/>
    </xf>
    <xf numFmtId="166" fontId="28" fillId="0" borderId="0" xfId="0" applyNumberFormat="1" applyFont="1"/>
    <xf numFmtId="0" fontId="66" fillId="4" borderId="5" xfId="0" applyFont="1" applyFill="1" applyBorder="1" applyAlignment="1">
      <alignment horizontal="center" wrapText="1"/>
    </xf>
    <xf numFmtId="0" fontId="66" fillId="4" borderId="5" xfId="0" applyFont="1" applyFill="1" applyBorder="1" applyAlignment="1">
      <alignment horizontal="center"/>
    </xf>
    <xf numFmtId="44" fontId="66" fillId="4" borderId="5" xfId="46" applyFont="1" applyFill="1" applyBorder="1" applyAlignment="1">
      <alignment horizontal="right" wrapText="1"/>
    </xf>
    <xf numFmtId="44" fontId="24" fillId="0" borderId="125" xfId="0" applyNumberFormat="1" applyFont="1" applyBorder="1"/>
    <xf numFmtId="185" fontId="0" fillId="0" borderId="0" xfId="0" applyNumberFormat="1"/>
    <xf numFmtId="44" fontId="25" fillId="0" borderId="10" xfId="46" applyFont="1" applyBorder="1" applyAlignment="1">
      <alignment horizontal="center"/>
    </xf>
    <xf numFmtId="44" fontId="24" fillId="0" borderId="74" xfId="46" applyFont="1" applyBorder="1" applyAlignment="1">
      <alignment horizontal="center"/>
    </xf>
    <xf numFmtId="10" fontId="4" fillId="0" borderId="29" xfId="47" applyNumberFormat="1" applyFont="1" applyBorder="1" applyAlignment="1">
      <alignment horizontal="center"/>
    </xf>
    <xf numFmtId="10" fontId="0" fillId="0" borderId="32" xfId="47" applyNumberFormat="1" applyFont="1" applyBorder="1" applyAlignment="1">
      <alignment horizontal="center"/>
    </xf>
    <xf numFmtId="44" fontId="24" fillId="0" borderId="33" xfId="0" applyNumberFormat="1" applyFont="1" applyBorder="1" applyAlignment="1">
      <alignment horizontal="left"/>
    </xf>
    <xf numFmtId="44" fontId="24" fillId="0" borderId="36" xfId="46" applyFont="1" applyBorder="1" applyAlignment="1">
      <alignment horizontal="center"/>
    </xf>
    <xf numFmtId="10" fontId="3" fillId="0" borderId="123" xfId="47" applyNumberFormat="1" applyFont="1" applyBorder="1" applyAlignment="1">
      <alignment horizontal="center"/>
    </xf>
    <xf numFmtId="0" fontId="4" fillId="3" borderId="15" xfId="0" applyFont="1" applyFill="1" applyBorder="1"/>
    <xf numFmtId="44" fontId="4" fillId="3" borderId="17" xfId="0" applyNumberFormat="1" applyFont="1" applyFill="1" applyBorder="1"/>
    <xf numFmtId="10" fontId="4" fillId="3" borderId="18" xfId="0" applyNumberFormat="1" applyFont="1" applyFill="1" applyBorder="1" applyAlignment="1">
      <alignment horizontal="center"/>
    </xf>
    <xf numFmtId="44" fontId="4" fillId="3" borderId="35" xfId="0" applyNumberFormat="1" applyFont="1" applyFill="1" applyBorder="1"/>
    <xf numFmtId="44" fontId="4" fillId="23" borderId="7" xfId="0" applyNumberFormat="1" applyFont="1" applyFill="1" applyBorder="1"/>
    <xf numFmtId="171" fontId="27" fillId="0" borderId="0" xfId="0" applyNumberFormat="1" applyFont="1" applyAlignment="1">
      <alignment horizontal="center"/>
    </xf>
    <xf numFmtId="0" fontId="34" fillId="0" borderId="0" xfId="0" applyFont="1" applyAlignment="1">
      <alignment horizontal="left"/>
    </xf>
    <xf numFmtId="166" fontId="0" fillId="0" borderId="32" xfId="0" applyNumberFormat="1" applyBorder="1" applyAlignment="1">
      <alignment horizontal="center"/>
    </xf>
    <xf numFmtId="44" fontId="0" fillId="0" borderId="38" xfId="46" applyFont="1" applyBorder="1" applyAlignment="1">
      <alignment vertical="center"/>
    </xf>
    <xf numFmtId="166" fontId="56" fillId="32" borderId="7" xfId="0" applyNumberFormat="1" applyFont="1" applyFill="1" applyBorder="1" applyAlignment="1">
      <alignment vertical="center"/>
    </xf>
    <xf numFmtId="44" fontId="56" fillId="32" borderId="7" xfId="46" applyFont="1" applyFill="1" applyBorder="1" applyAlignment="1">
      <alignment vertical="center"/>
    </xf>
    <xf numFmtId="10" fontId="56" fillId="32" borderId="60" xfId="47" applyNumberFormat="1" applyFont="1" applyFill="1" applyBorder="1" applyAlignment="1">
      <alignment horizontal="center" vertical="center"/>
    </xf>
    <xf numFmtId="166" fontId="0" fillId="0" borderId="51" xfId="0" applyNumberFormat="1" applyBorder="1" applyAlignment="1">
      <alignment vertical="center"/>
    </xf>
    <xf numFmtId="44" fontId="3" fillId="0" borderId="51" xfId="46" applyFont="1" applyBorder="1" applyAlignment="1">
      <alignment horizontal="center" vertical="center"/>
    </xf>
    <xf numFmtId="10" fontId="3" fillId="0" borderId="68" xfId="47" applyNumberFormat="1" applyFont="1" applyBorder="1" applyAlignment="1">
      <alignment horizontal="center" vertical="center"/>
    </xf>
    <xf numFmtId="166" fontId="0" fillId="0" borderId="38" xfId="0" applyNumberFormat="1" applyBorder="1" applyAlignment="1">
      <alignment vertical="center"/>
    </xf>
    <xf numFmtId="10" fontId="3" fillId="0" borderId="63" xfId="47" applyNumberFormat="1" applyFont="1" applyBorder="1" applyAlignment="1">
      <alignment horizontal="center" vertical="center"/>
    </xf>
    <xf numFmtId="10" fontId="3" fillId="30" borderId="122" xfId="47" applyNumberFormat="1" applyFont="1" applyFill="1" applyBorder="1" applyAlignment="1">
      <alignment horizontal="center"/>
    </xf>
    <xf numFmtId="0" fontId="56" fillId="3" borderId="7" xfId="0" applyFont="1" applyFill="1" applyBorder="1"/>
    <xf numFmtId="44" fontId="56" fillId="3" borderId="7" xfId="0" applyNumberFormat="1" applyFont="1" applyFill="1" applyBorder="1"/>
    <xf numFmtId="7" fontId="56" fillId="3" borderId="7" xfId="0" applyNumberFormat="1" applyFont="1" applyFill="1" applyBorder="1"/>
    <xf numFmtId="44" fontId="34" fillId="20" borderId="7" xfId="46" applyFont="1" applyFill="1" applyBorder="1" applyAlignment="1">
      <alignment horizontal="center"/>
    </xf>
    <xf numFmtId="4" fontId="25" fillId="0" borderId="0" xfId="0" applyNumberFormat="1" applyFont="1"/>
    <xf numFmtId="0" fontId="0" fillId="0" borderId="0" xfId="0" applyAlignment="1">
      <alignment vertical="center"/>
    </xf>
    <xf numFmtId="3" fontId="34" fillId="18" borderId="14" xfId="0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0" fontId="4" fillId="14" borderId="43" xfId="0" applyFont="1" applyFill="1" applyBorder="1" applyAlignment="1">
      <alignment horizontal="center" vertical="center"/>
    </xf>
    <xf numFmtId="3" fontId="0" fillId="0" borderId="39" xfId="0" applyNumberFormat="1" applyBorder="1" applyAlignment="1">
      <alignment vertical="center"/>
    </xf>
    <xf numFmtId="166" fontId="0" fillId="0" borderId="44" xfId="0" applyNumberFormat="1" applyBorder="1" applyAlignment="1">
      <alignment horizontal="center" vertical="center"/>
    </xf>
    <xf numFmtId="166" fontId="0" fillId="0" borderId="51" xfId="0" applyNumberFormat="1" applyBorder="1" applyAlignment="1">
      <alignment horizontal="center" vertical="center"/>
    </xf>
    <xf numFmtId="166" fontId="0" fillId="0" borderId="45" xfId="0" applyNumberFormat="1" applyBorder="1" applyAlignment="1">
      <alignment horizontal="center" vertical="center"/>
    </xf>
    <xf numFmtId="166" fontId="4" fillId="2" borderId="37" xfId="0" applyNumberFormat="1" applyFont="1" applyFill="1" applyBorder="1" applyAlignment="1">
      <alignment horizontal="center" vertical="center"/>
    </xf>
    <xf numFmtId="166" fontId="4" fillId="2" borderId="38" xfId="0" applyNumberFormat="1" applyFont="1" applyFill="1" applyBorder="1" applyAlignment="1">
      <alignment horizontal="center" vertical="center"/>
    </xf>
    <xf numFmtId="166" fontId="4" fillId="4" borderId="44" xfId="0" applyNumberFormat="1" applyFont="1" applyFill="1" applyBorder="1" applyAlignment="1">
      <alignment horizontal="center" vertical="center"/>
    </xf>
    <xf numFmtId="166" fontId="0" fillId="0" borderId="44" xfId="0" applyNumberFormat="1" applyBorder="1" applyAlignment="1">
      <alignment horizontal="center" vertical="center" wrapText="1"/>
    </xf>
    <xf numFmtId="3" fontId="0" fillId="0" borderId="44" xfId="0" applyNumberFormat="1" applyBorder="1" applyAlignment="1">
      <alignment vertical="center"/>
    </xf>
    <xf numFmtId="166" fontId="4" fillId="2" borderId="7" xfId="0" applyNumberFormat="1" applyFont="1" applyFill="1" applyBorder="1" applyAlignment="1">
      <alignment horizontal="center" vertical="center"/>
    </xf>
    <xf numFmtId="3" fontId="0" fillId="0" borderId="53" xfId="0" applyNumberFormat="1" applyBorder="1" applyAlignment="1">
      <alignment vertical="center"/>
    </xf>
    <xf numFmtId="3" fontId="34" fillId="24" borderId="14" xfId="0" applyNumberFormat="1" applyFont="1" applyFill="1" applyBorder="1" applyAlignment="1">
      <alignment vertical="center"/>
    </xf>
    <xf numFmtId="3" fontId="0" fillId="4" borderId="44" xfId="0" applyNumberFormat="1" applyFill="1" applyBorder="1" applyAlignment="1">
      <alignment vertical="center"/>
    </xf>
    <xf numFmtId="3" fontId="4" fillId="5" borderId="14" xfId="0" applyNumberFormat="1" applyFont="1" applyFill="1" applyBorder="1" applyAlignment="1">
      <alignment vertical="center"/>
    </xf>
    <xf numFmtId="3" fontId="34" fillId="18" borderId="60" xfId="0" applyNumberFormat="1" applyFont="1" applyFill="1" applyBorder="1"/>
    <xf numFmtId="0" fontId="4" fillId="14" borderId="48" xfId="0" applyFont="1" applyFill="1" applyBorder="1" applyAlignment="1">
      <alignment horizontal="left"/>
    </xf>
    <xf numFmtId="3" fontId="0" fillId="0" borderId="50" xfId="0" applyNumberFormat="1" applyBorder="1" applyAlignment="1">
      <alignment wrapText="1"/>
    </xf>
    <xf numFmtId="4" fontId="4" fillId="6" borderId="60" xfId="0" applyNumberFormat="1" applyFont="1" applyFill="1" applyBorder="1"/>
    <xf numFmtId="166" fontId="0" fillId="0" borderId="54" xfId="0" applyNumberFormat="1" applyBorder="1" applyAlignment="1">
      <alignment wrapText="1"/>
    </xf>
    <xf numFmtId="4" fontId="0" fillId="6" borderId="68" xfId="0" applyNumberFormat="1" applyFill="1" applyBorder="1"/>
    <xf numFmtId="166" fontId="0" fillId="0" borderId="49" xfId="0" applyNumberFormat="1" applyBorder="1" applyAlignment="1">
      <alignment wrapText="1"/>
    </xf>
    <xf numFmtId="4" fontId="0" fillId="7" borderId="72" xfId="0" applyNumberFormat="1" applyFill="1" applyBorder="1" applyAlignment="1">
      <alignment vertical="center"/>
    </xf>
    <xf numFmtId="4" fontId="0" fillId="4" borderId="123" xfId="0" applyNumberFormat="1" applyFill="1" applyBorder="1"/>
    <xf numFmtId="4" fontId="0" fillId="4" borderId="25" xfId="0" applyNumberFormat="1" applyFill="1" applyBorder="1"/>
    <xf numFmtId="166" fontId="4" fillId="2" borderId="73" xfId="0" applyNumberFormat="1" applyFont="1" applyFill="1" applyBorder="1" applyAlignment="1">
      <alignment wrapText="1"/>
    </xf>
    <xf numFmtId="4" fontId="0" fillId="6" borderId="62" xfId="0" applyNumberFormat="1" applyFill="1" applyBorder="1"/>
    <xf numFmtId="4" fontId="0" fillId="6" borderId="32" xfId="0" applyNumberFormat="1" applyFill="1" applyBorder="1"/>
    <xf numFmtId="166" fontId="4" fillId="2" borderId="49" xfId="0" applyNumberFormat="1" applyFont="1" applyFill="1" applyBorder="1" applyAlignment="1">
      <alignment wrapText="1"/>
    </xf>
    <xf numFmtId="4" fontId="0" fillId="6" borderId="63" xfId="0" applyNumberFormat="1" applyFill="1" applyBorder="1"/>
    <xf numFmtId="4" fontId="4" fillId="6" borderId="18" xfId="0" applyNumberFormat="1" applyFont="1" applyFill="1" applyBorder="1"/>
    <xf numFmtId="4" fontId="25" fillId="6" borderId="60" xfId="0" applyNumberFormat="1" applyFont="1" applyFill="1" applyBorder="1"/>
    <xf numFmtId="166" fontId="4" fillId="4" borderId="52" xfId="0" applyNumberFormat="1" applyFont="1" applyFill="1" applyBorder="1" applyAlignment="1">
      <alignment wrapText="1"/>
    </xf>
    <xf numFmtId="4" fontId="25" fillId="4" borderId="46" xfId="0" applyNumberFormat="1" applyFont="1" applyFill="1" applyBorder="1"/>
    <xf numFmtId="4" fontId="25" fillId="6" borderId="18" xfId="0" applyNumberFormat="1" applyFont="1" applyFill="1" applyBorder="1"/>
    <xf numFmtId="4" fontId="0" fillId="0" borderId="46" xfId="0" applyNumberFormat="1" applyBorder="1"/>
    <xf numFmtId="166" fontId="25" fillId="3" borderId="13" xfId="0" applyNumberFormat="1" applyFont="1" applyFill="1" applyBorder="1" applyAlignment="1">
      <alignment horizontal="left" wrapText="1"/>
    </xf>
    <xf numFmtId="4" fontId="25" fillId="6" borderId="18" xfId="0" applyNumberFormat="1" applyFont="1" applyFill="1" applyBorder="1" applyAlignment="1">
      <alignment vertical="center"/>
    </xf>
    <xf numFmtId="166" fontId="0" fillId="0" borderId="55" xfId="0" applyNumberFormat="1" applyBorder="1" applyAlignment="1">
      <alignment horizontal="center" wrapText="1"/>
    </xf>
    <xf numFmtId="166" fontId="0" fillId="0" borderId="52" xfId="0" applyNumberFormat="1" applyBorder="1" applyAlignment="1">
      <alignment horizontal="center" wrapText="1"/>
    </xf>
    <xf numFmtId="166" fontId="25" fillId="3" borderId="13" xfId="0" applyNumberFormat="1" applyFont="1" applyFill="1" applyBorder="1" applyAlignment="1">
      <alignment wrapText="1"/>
    </xf>
    <xf numFmtId="4" fontId="0" fillId="0" borderId="46" xfId="0" applyNumberFormat="1" applyBorder="1" applyAlignment="1">
      <alignment wrapText="1"/>
    </xf>
    <xf numFmtId="4" fontId="4" fillId="4" borderId="46" xfId="0" applyNumberFormat="1" applyFont="1" applyFill="1" applyBorder="1"/>
    <xf numFmtId="4" fontId="4" fillId="6" borderId="18" xfId="0" applyNumberFormat="1" applyFont="1" applyFill="1" applyBorder="1" applyAlignment="1">
      <alignment vertical="center"/>
    </xf>
    <xf numFmtId="4" fontId="4" fillId="6" borderId="60" xfId="0" applyNumberFormat="1" applyFont="1" applyFill="1" applyBorder="1" applyAlignment="1">
      <alignment vertical="center"/>
    </xf>
    <xf numFmtId="166" fontId="4" fillId="2" borderId="13" xfId="0" applyNumberFormat="1" applyFont="1" applyFill="1" applyBorder="1" applyAlignment="1">
      <alignment horizontal="left" wrapText="1"/>
    </xf>
    <xf numFmtId="4" fontId="0" fillId="0" borderId="61" xfId="0" applyNumberFormat="1" applyBorder="1"/>
    <xf numFmtId="3" fontId="34" fillId="24" borderId="60" xfId="0" applyNumberFormat="1" applyFont="1" applyFill="1" applyBorder="1"/>
    <xf numFmtId="4" fontId="0" fillId="6" borderId="63" xfId="0" applyNumberFormat="1" applyFill="1" applyBorder="1" applyAlignment="1">
      <alignment vertical="center"/>
    </xf>
    <xf numFmtId="4" fontId="4" fillId="6" borderId="63" xfId="0" applyNumberFormat="1" applyFont="1" applyFill="1" applyBorder="1"/>
    <xf numFmtId="4" fontId="25" fillId="6" borderId="60" xfId="0" applyNumberFormat="1" applyFont="1" applyFill="1" applyBorder="1" applyAlignment="1">
      <alignment vertical="center"/>
    </xf>
    <xf numFmtId="166" fontId="4" fillId="2" borderId="13" xfId="0" applyNumberFormat="1" applyFont="1" applyFill="1" applyBorder="1" applyAlignment="1">
      <alignment wrapText="1"/>
    </xf>
    <xf numFmtId="3" fontId="0" fillId="4" borderId="52" xfId="0" applyNumberFormat="1" applyFill="1" applyBorder="1"/>
    <xf numFmtId="166" fontId="4" fillId="25" borderId="13" xfId="0" applyNumberFormat="1" applyFont="1" applyFill="1" applyBorder="1" applyAlignment="1">
      <alignment wrapText="1"/>
    </xf>
    <xf numFmtId="4" fontId="0" fillId="0" borderId="11" xfId="0" applyNumberFormat="1" applyBorder="1"/>
    <xf numFmtId="3" fontId="53" fillId="5" borderId="13" xfId="0" applyNumberFormat="1" applyFont="1" applyFill="1" applyBorder="1"/>
    <xf numFmtId="4" fontId="0" fillId="0" borderId="18" xfId="0" applyNumberFormat="1" applyBorder="1" applyAlignment="1">
      <alignment horizontal="center"/>
    </xf>
    <xf numFmtId="4" fontId="4" fillId="5" borderId="7" xfId="0" applyNumberFormat="1" applyFont="1" applyFill="1" applyBorder="1"/>
    <xf numFmtId="166" fontId="0" fillId="0" borderId="13" xfId="0" applyNumberFormat="1" applyBorder="1" applyAlignment="1">
      <alignment horizontal="left" wrapText="1"/>
    </xf>
    <xf numFmtId="166" fontId="34" fillId="18" borderId="14" xfId="0" applyNumberFormat="1" applyFont="1" applyFill="1" applyBorder="1"/>
    <xf numFmtId="166" fontId="34" fillId="18" borderId="60" xfId="0" applyNumberFormat="1" applyFont="1" applyFill="1" applyBorder="1"/>
    <xf numFmtId="4" fontId="0" fillId="7" borderId="62" xfId="0" applyNumberFormat="1" applyFill="1" applyBorder="1"/>
    <xf numFmtId="4" fontId="0" fillId="7" borderId="23" xfId="0" applyNumberFormat="1" applyFill="1" applyBorder="1"/>
    <xf numFmtId="4" fontId="8" fillId="4" borderId="65" xfId="0" applyNumberFormat="1" applyFont="1" applyFill="1" applyBorder="1" applyAlignment="1">
      <alignment horizontal="center"/>
    </xf>
    <xf numFmtId="4" fontId="4" fillId="18" borderId="7" xfId="0" applyNumberFormat="1" applyFont="1" applyFill="1" applyBorder="1"/>
    <xf numFmtId="166" fontId="34" fillId="23" borderId="60" xfId="0" applyNumberFormat="1" applyFont="1" applyFill="1" applyBorder="1"/>
    <xf numFmtId="4" fontId="4" fillId="23" borderId="7" xfId="0" applyNumberFormat="1" applyFont="1" applyFill="1" applyBorder="1"/>
    <xf numFmtId="3" fontId="4" fillId="5" borderId="60" xfId="0" applyNumberFormat="1" applyFont="1" applyFill="1" applyBorder="1"/>
    <xf numFmtId="166" fontId="31" fillId="0" borderId="7" xfId="0" applyNumberFormat="1" applyFont="1" applyBorder="1" applyAlignment="1">
      <alignment horizontal="center" vertical="center"/>
    </xf>
    <xf numFmtId="44" fontId="4" fillId="5" borderId="60" xfId="46" applyFont="1" applyFill="1" applyBorder="1"/>
    <xf numFmtId="44" fontId="4" fillId="5" borderId="7" xfId="46" applyFont="1" applyFill="1" applyBorder="1"/>
    <xf numFmtId="44" fontId="4" fillId="24" borderId="7" xfId="46" applyFont="1" applyFill="1" applyBorder="1"/>
    <xf numFmtId="4" fontId="27" fillId="0" borderId="46" xfId="0" applyNumberFormat="1" applyFont="1" applyBorder="1"/>
    <xf numFmtId="3" fontId="35" fillId="16" borderId="39" xfId="0" applyNumberFormat="1" applyFont="1" applyFill="1" applyBorder="1" applyAlignment="1">
      <alignment horizontal="center" vertical="center" wrapText="1"/>
    </xf>
    <xf numFmtId="3" fontId="8" fillId="6" borderId="42" xfId="0" applyNumberFormat="1" applyFont="1" applyFill="1" applyBorder="1" applyAlignment="1">
      <alignment horizontal="center" vertical="center"/>
    </xf>
    <xf numFmtId="3" fontId="8" fillId="6" borderId="64" xfId="0" applyNumberFormat="1" applyFont="1" applyFill="1" applyBorder="1" applyAlignment="1">
      <alignment horizontal="center" vertical="center"/>
    </xf>
    <xf numFmtId="3" fontId="0" fillId="0" borderId="50" xfId="0" applyNumberFormat="1" applyBorder="1" applyAlignment="1">
      <alignment vertical="center" wrapText="1"/>
    </xf>
    <xf numFmtId="3" fontId="8" fillId="6" borderId="70" xfId="0" applyNumberFormat="1" applyFont="1" applyFill="1" applyBorder="1" applyAlignment="1">
      <alignment horizontal="center" vertical="center"/>
    </xf>
    <xf numFmtId="3" fontId="8" fillId="6" borderId="61" xfId="0" applyNumberFormat="1" applyFont="1" applyFill="1" applyBorder="1" applyAlignment="1">
      <alignment horizontal="center" vertical="center"/>
    </xf>
    <xf numFmtId="3" fontId="8" fillId="34" borderId="5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18" borderId="67" xfId="0" applyFont="1" applyFill="1" applyBorder="1" applyAlignment="1">
      <alignment horizontal="center" vertical="center"/>
    </xf>
    <xf numFmtId="3" fontId="8" fillId="18" borderId="59" xfId="0" applyNumberFormat="1" applyFont="1" applyFill="1" applyBorder="1" applyAlignment="1">
      <alignment horizontal="center" vertical="center"/>
    </xf>
    <xf numFmtId="2" fontId="26" fillId="0" borderId="0" xfId="0" applyNumberFormat="1" applyFont="1"/>
    <xf numFmtId="3" fontId="38" fillId="23" borderId="39" xfId="0" applyNumberFormat="1" applyFont="1" applyFill="1" applyBorder="1" applyAlignment="1">
      <alignment horizontal="center"/>
    </xf>
    <xf numFmtId="3" fontId="32" fillId="16" borderId="5" xfId="0" applyNumberFormat="1" applyFont="1" applyFill="1" applyBorder="1" applyAlignment="1">
      <alignment horizontal="right"/>
    </xf>
    <xf numFmtId="3" fontId="31" fillId="16" borderId="57" xfId="0" applyNumberFormat="1" applyFont="1" applyFill="1" applyBorder="1"/>
    <xf numFmtId="3" fontId="31" fillId="16" borderId="9" xfId="0" applyNumberFormat="1" applyFont="1" applyFill="1" applyBorder="1"/>
    <xf numFmtId="3" fontId="32" fillId="16" borderId="40" xfId="0" applyNumberFormat="1" applyFont="1" applyFill="1" applyBorder="1" applyAlignment="1">
      <alignment horizontal="right"/>
    </xf>
    <xf numFmtId="3" fontId="31" fillId="16" borderId="50" xfId="0" applyNumberFormat="1" applyFont="1" applyFill="1" applyBorder="1"/>
    <xf numFmtId="3" fontId="31" fillId="16" borderId="42" xfId="0" applyNumberFormat="1" applyFont="1" applyFill="1" applyBorder="1"/>
    <xf numFmtId="3" fontId="0" fillId="0" borderId="5" xfId="0" applyNumberFormat="1" applyBorder="1"/>
    <xf numFmtId="3" fontId="0" fillId="0" borderId="40" xfId="0" applyNumberFormat="1" applyBorder="1"/>
    <xf numFmtId="10" fontId="27" fillId="25" borderId="32" xfId="47" applyNumberFormat="1" applyFont="1" applyFill="1" applyBorder="1"/>
    <xf numFmtId="10" fontId="4" fillId="4" borderId="32" xfId="47" applyNumberFormat="1" applyFont="1" applyFill="1" applyBorder="1"/>
    <xf numFmtId="3" fontId="32" fillId="16" borderId="26" xfId="0" applyNumberFormat="1" applyFont="1" applyFill="1" applyBorder="1" applyAlignment="1">
      <alignment horizontal="center"/>
    </xf>
    <xf numFmtId="3" fontId="32" fillId="16" borderId="31" xfId="0" applyNumberFormat="1" applyFont="1" applyFill="1" applyBorder="1" applyAlignment="1">
      <alignment horizontal="center"/>
    </xf>
    <xf numFmtId="3" fontId="32" fillId="16" borderId="33" xfId="0" applyNumberFormat="1" applyFont="1" applyFill="1" applyBorder="1" applyAlignment="1">
      <alignment horizontal="center"/>
    </xf>
    <xf numFmtId="3" fontId="34" fillId="16" borderId="15" xfId="0" applyNumberFormat="1" applyFont="1" applyFill="1" applyBorder="1" applyAlignment="1">
      <alignment horizontal="center"/>
    </xf>
    <xf numFmtId="3" fontId="32" fillId="23" borderId="31" xfId="0" applyNumberFormat="1" applyFont="1" applyFill="1" applyBorder="1" applyAlignment="1">
      <alignment horizontal="center"/>
    </xf>
    <xf numFmtId="3" fontId="34" fillId="23" borderId="15" xfId="0" applyNumberFormat="1" applyFont="1" applyFill="1" applyBorder="1" applyAlignment="1">
      <alignment horizontal="center"/>
    </xf>
    <xf numFmtId="3" fontId="32" fillId="25" borderId="31" xfId="0" applyNumberFormat="1" applyFont="1" applyFill="1" applyBorder="1" applyAlignment="1">
      <alignment horizontal="center"/>
    </xf>
    <xf numFmtId="3" fontId="31" fillId="25" borderId="31" xfId="0" applyNumberFormat="1" applyFont="1" applyFill="1" applyBorder="1" applyAlignment="1">
      <alignment horizontal="center"/>
    </xf>
    <xf numFmtId="3" fontId="31" fillId="25" borderId="33" xfId="0" applyNumberFormat="1" applyFont="1" applyFill="1" applyBorder="1" applyAlignment="1">
      <alignment horizontal="center"/>
    </xf>
    <xf numFmtId="3" fontId="28" fillId="25" borderId="15" xfId="0" applyNumberFormat="1" applyFont="1" applyFill="1" applyBorder="1" applyAlignment="1">
      <alignment horizontal="center"/>
    </xf>
    <xf numFmtId="3" fontId="31" fillId="7" borderId="31" xfId="0" applyNumberFormat="1" applyFont="1" applyFill="1" applyBorder="1" applyAlignment="1">
      <alignment horizontal="center"/>
    </xf>
    <xf numFmtId="3" fontId="31" fillId="7" borderId="33" xfId="0" applyNumberFormat="1" applyFont="1" applyFill="1" applyBorder="1" applyAlignment="1">
      <alignment horizontal="center" vertical="center" wrapText="1"/>
    </xf>
    <xf numFmtId="3" fontId="28" fillId="7" borderId="15" xfId="0" applyNumberFormat="1" applyFont="1" applyFill="1" applyBorder="1" applyAlignment="1">
      <alignment horizontal="center"/>
    </xf>
    <xf numFmtId="4" fontId="0" fillId="0" borderId="23" xfId="0" applyNumberFormat="1" applyBorder="1"/>
    <xf numFmtId="4" fontId="4" fillId="0" borderId="18" xfId="0" applyNumberFormat="1" applyFont="1" applyBorder="1"/>
    <xf numFmtId="3" fontId="28" fillId="7" borderId="7" xfId="0" applyNumberFormat="1" applyFont="1" applyFill="1" applyBorder="1" applyAlignment="1">
      <alignment horizontal="center"/>
    </xf>
    <xf numFmtId="3" fontId="32" fillId="16" borderId="66" xfId="0" applyNumberFormat="1" applyFont="1" applyFill="1" applyBorder="1" applyAlignment="1">
      <alignment horizontal="center"/>
    </xf>
    <xf numFmtId="3" fontId="32" fillId="23" borderId="4" xfId="0" applyNumberFormat="1" applyFont="1" applyFill="1" applyBorder="1" applyAlignment="1">
      <alignment horizontal="center"/>
    </xf>
    <xf numFmtId="3" fontId="32" fillId="16" borderId="21" xfId="0" applyNumberFormat="1" applyFont="1" applyFill="1" applyBorder="1" applyAlignment="1">
      <alignment horizontal="center"/>
    </xf>
    <xf numFmtId="3" fontId="32" fillId="16" borderId="68" xfId="0" applyNumberFormat="1" applyFont="1" applyFill="1" applyBorder="1" applyAlignment="1">
      <alignment horizontal="center"/>
    </xf>
    <xf numFmtId="3" fontId="32" fillId="23" borderId="21" xfId="0" applyNumberFormat="1" applyFont="1" applyFill="1" applyBorder="1" applyAlignment="1">
      <alignment horizontal="center"/>
    </xf>
    <xf numFmtId="3" fontId="32" fillId="23" borderId="22" xfId="0" applyNumberFormat="1" applyFont="1" applyFill="1" applyBorder="1" applyAlignment="1">
      <alignment horizontal="center"/>
    </xf>
    <xf numFmtId="3" fontId="31" fillId="25" borderId="21" xfId="0" applyNumberFormat="1" applyFont="1" applyFill="1" applyBorder="1" applyAlignment="1">
      <alignment horizontal="center"/>
    </xf>
    <xf numFmtId="3" fontId="31" fillId="7" borderId="21" xfId="0" applyNumberFormat="1" applyFont="1" applyFill="1" applyBorder="1" applyAlignment="1">
      <alignment horizontal="center"/>
    </xf>
    <xf numFmtId="3" fontId="32" fillId="16" borderId="22" xfId="0" applyNumberFormat="1" applyFont="1" applyFill="1" applyBorder="1" applyAlignment="1">
      <alignment horizontal="center"/>
    </xf>
    <xf numFmtId="3" fontId="32" fillId="16" borderId="47" xfId="0" applyNumberFormat="1" applyFont="1" applyFill="1" applyBorder="1" applyAlignment="1">
      <alignment horizontal="center"/>
    </xf>
    <xf numFmtId="3" fontId="31" fillId="25" borderId="23" xfId="0" applyNumberFormat="1" applyFont="1" applyFill="1" applyBorder="1" applyAlignment="1">
      <alignment horizontal="center"/>
    </xf>
    <xf numFmtId="3" fontId="31" fillId="7" borderId="23" xfId="0" applyNumberFormat="1" applyFont="1" applyFill="1" applyBorder="1" applyAlignment="1">
      <alignment horizontal="center"/>
    </xf>
    <xf numFmtId="0" fontId="4" fillId="3" borderId="7" xfId="0" applyFont="1" applyFill="1" applyBorder="1"/>
    <xf numFmtId="44" fontId="68" fillId="3" borderId="60" xfId="0" applyNumberFormat="1" applyFont="1" applyFill="1" applyBorder="1"/>
    <xf numFmtId="44" fontId="24" fillId="0" borderId="37" xfId="46" applyFont="1" applyBorder="1" applyAlignment="1">
      <alignment horizontal="right"/>
    </xf>
    <xf numFmtId="44" fontId="24" fillId="0" borderId="38" xfId="46" applyFont="1" applyBorder="1" applyAlignment="1">
      <alignment horizontal="right"/>
    </xf>
    <xf numFmtId="44" fontId="24" fillId="0" borderId="39" xfId="46" applyFont="1" applyBorder="1" applyAlignment="1">
      <alignment horizontal="right"/>
    </xf>
    <xf numFmtId="3" fontId="31" fillId="7" borderId="62" xfId="0" applyNumberFormat="1" applyFont="1" applyFill="1" applyBorder="1" applyAlignment="1">
      <alignment horizontal="right"/>
    </xf>
    <xf numFmtId="3" fontId="31" fillId="7" borderId="63" xfId="0" applyNumberFormat="1" applyFont="1" applyFill="1" applyBorder="1" applyAlignment="1">
      <alignment horizontal="right"/>
    </xf>
    <xf numFmtId="3" fontId="31" fillId="7" borderId="63" xfId="0" applyNumberFormat="1" applyFont="1" applyFill="1" applyBorder="1" applyAlignment="1">
      <alignment horizontal="right" vertical="center" wrapText="1"/>
    </xf>
    <xf numFmtId="3" fontId="31" fillId="7" borderId="64" xfId="0" applyNumberFormat="1" applyFont="1" applyFill="1" applyBorder="1" applyAlignment="1">
      <alignment horizontal="right"/>
    </xf>
    <xf numFmtId="0" fontId="28" fillId="16" borderId="48" xfId="0" applyFont="1" applyFill="1" applyBorder="1" applyAlignment="1">
      <alignment horizontal="center"/>
    </xf>
    <xf numFmtId="166" fontId="40" fillId="4" borderId="35" xfId="0" applyNumberFormat="1" applyFont="1" applyFill="1" applyBorder="1" applyAlignment="1">
      <alignment horizontal="center"/>
    </xf>
    <xf numFmtId="3" fontId="32" fillId="16" borderId="73" xfId="0" applyNumberFormat="1" applyFont="1" applyFill="1" applyBorder="1"/>
    <xf numFmtId="3" fontId="32" fillId="16" borderId="49" xfId="0" applyNumberFormat="1" applyFont="1" applyFill="1" applyBorder="1"/>
    <xf numFmtId="3" fontId="31" fillId="7" borderId="27" xfId="0" applyNumberFormat="1" applyFont="1" applyFill="1" applyBorder="1" applyAlignment="1">
      <alignment horizontal="right"/>
    </xf>
    <xf numFmtId="3" fontId="31" fillId="7" borderId="4" xfId="0" applyNumberFormat="1" applyFont="1" applyFill="1" applyBorder="1" applyAlignment="1">
      <alignment horizontal="right"/>
    </xf>
    <xf numFmtId="3" fontId="31" fillId="7" borderId="4" xfId="0" applyNumberFormat="1" applyFont="1" applyFill="1" applyBorder="1" applyAlignment="1">
      <alignment horizontal="right" vertical="center" wrapText="1"/>
    </xf>
    <xf numFmtId="3" fontId="31" fillId="7" borderId="42" xfId="0" applyNumberFormat="1" applyFont="1" applyFill="1" applyBorder="1" applyAlignment="1">
      <alignment horizontal="right"/>
    </xf>
    <xf numFmtId="3" fontId="32" fillId="25" borderId="37" xfId="0" applyNumberFormat="1" applyFont="1" applyFill="1" applyBorder="1" applyAlignment="1">
      <alignment horizontal="right"/>
    </xf>
    <xf numFmtId="3" fontId="31" fillId="25" borderId="38" xfId="0" applyNumberFormat="1" applyFont="1" applyFill="1" applyBorder="1" applyAlignment="1">
      <alignment horizontal="right"/>
    </xf>
    <xf numFmtId="3" fontId="31" fillId="25" borderId="39" xfId="0" applyNumberFormat="1" applyFont="1" applyFill="1" applyBorder="1" applyAlignment="1">
      <alignment horizontal="right"/>
    </xf>
    <xf numFmtId="3" fontId="32" fillId="16" borderId="41" xfId="0" applyNumberFormat="1" applyFont="1" applyFill="1" applyBorder="1"/>
    <xf numFmtId="166" fontId="0" fillId="0" borderId="129" xfId="0" applyNumberFormat="1" applyBorder="1"/>
    <xf numFmtId="166" fontId="0" fillId="0" borderId="130" xfId="0" applyNumberFormat="1" applyBorder="1"/>
    <xf numFmtId="166" fontId="28" fillId="0" borderId="131" xfId="0" applyNumberFormat="1" applyFont="1" applyBorder="1"/>
    <xf numFmtId="166" fontId="0" fillId="0" borderId="132" xfId="0" applyNumberFormat="1" applyBorder="1"/>
    <xf numFmtId="166" fontId="0" fillId="0" borderId="136" xfId="0" applyNumberFormat="1" applyBorder="1"/>
    <xf numFmtId="166" fontId="0" fillId="0" borderId="137" xfId="0" applyNumberFormat="1" applyBorder="1"/>
    <xf numFmtId="3" fontId="0" fillId="0" borderId="32" xfId="0" applyNumberFormat="1" applyBorder="1"/>
    <xf numFmtId="3" fontId="0" fillId="0" borderId="72" xfId="0" applyNumberFormat="1" applyBorder="1"/>
    <xf numFmtId="10" fontId="4" fillId="4" borderId="72" xfId="47" applyNumberFormat="1" applyFont="1" applyFill="1" applyBorder="1"/>
    <xf numFmtId="3" fontId="32" fillId="16" borderId="50" xfId="0" applyNumberFormat="1" applyFont="1" applyFill="1" applyBorder="1"/>
    <xf numFmtId="4" fontId="0" fillId="0" borderId="22" xfId="0" applyNumberFormat="1" applyBorder="1"/>
    <xf numFmtId="4" fontId="4" fillId="0" borderId="16" xfId="0" applyNumberFormat="1" applyFont="1" applyBorder="1"/>
    <xf numFmtId="4" fontId="0" fillId="0" borderId="51" xfId="0" applyNumberFormat="1" applyBorder="1"/>
    <xf numFmtId="4" fontId="4" fillId="0" borderId="7" xfId="0" applyNumberFormat="1" applyFont="1" applyBorder="1"/>
    <xf numFmtId="166" fontId="4" fillId="23" borderId="37" xfId="0" applyNumberFormat="1" applyFont="1" applyFill="1" applyBorder="1" applyAlignment="1">
      <alignment horizontal="center"/>
    </xf>
    <xf numFmtId="166" fontId="4" fillId="23" borderId="38" xfId="0" applyNumberFormat="1" applyFont="1" applyFill="1" applyBorder="1" applyAlignment="1">
      <alignment horizontal="center"/>
    </xf>
    <xf numFmtId="166" fontId="4" fillId="23" borderId="39" xfId="0" applyNumberFormat="1" applyFont="1" applyFill="1" applyBorder="1" applyAlignment="1">
      <alignment horizontal="center"/>
    </xf>
    <xf numFmtId="166" fontId="28" fillId="2" borderId="28" xfId="0" applyNumberFormat="1" applyFont="1" applyFill="1" applyBorder="1" applyAlignment="1">
      <alignment horizontal="center"/>
    </xf>
    <xf numFmtId="166" fontId="28" fillId="2" borderId="40" xfId="0" applyNumberFormat="1" applyFont="1" applyFill="1" applyBorder="1" applyAlignment="1">
      <alignment horizontal="center"/>
    </xf>
    <xf numFmtId="2" fontId="31" fillId="6" borderId="58" xfId="47" applyNumberFormat="1" applyFont="1" applyFill="1" applyBorder="1" applyAlignment="1">
      <alignment vertical="center"/>
    </xf>
    <xf numFmtId="0" fontId="31" fillId="16" borderId="27" xfId="0" applyFont="1" applyFill="1" applyBorder="1" applyAlignment="1">
      <alignment horizontal="center"/>
    </xf>
    <xf numFmtId="3" fontId="32" fillId="16" borderId="42" xfId="0" applyNumberFormat="1" applyFont="1" applyFill="1" applyBorder="1" applyAlignment="1">
      <alignment horizontal="center"/>
    </xf>
    <xf numFmtId="179" fontId="31" fillId="25" borderId="37" xfId="47" applyNumberFormat="1" applyFont="1" applyFill="1" applyBorder="1" applyAlignment="1">
      <alignment vertical="center"/>
    </xf>
    <xf numFmtId="2" fontId="31" fillId="7" borderId="72" xfId="47" applyNumberFormat="1" applyFont="1" applyFill="1" applyBorder="1"/>
    <xf numFmtId="10" fontId="32" fillId="23" borderId="7" xfId="47" applyNumberFormat="1" applyFont="1" applyFill="1" applyBorder="1" applyAlignment="1">
      <alignment horizontal="center"/>
    </xf>
    <xf numFmtId="179" fontId="31" fillId="25" borderId="7" xfId="47" applyNumberFormat="1" applyFont="1" applyFill="1" applyBorder="1"/>
    <xf numFmtId="179" fontId="31" fillId="7" borderId="72" xfId="0" applyNumberFormat="1" applyFont="1" applyFill="1" applyBorder="1"/>
    <xf numFmtId="10" fontId="3" fillId="0" borderId="63" xfId="47" applyNumberFormat="1" applyFont="1" applyBorder="1" applyAlignment="1">
      <alignment horizontal="center"/>
    </xf>
    <xf numFmtId="10" fontId="3" fillId="0" borderId="68" xfId="47" applyNumberFormat="1" applyFont="1" applyBorder="1" applyAlignment="1">
      <alignment horizontal="center"/>
    </xf>
    <xf numFmtId="166" fontId="4" fillId="16" borderId="7" xfId="0" applyNumberFormat="1" applyFont="1" applyFill="1" applyBorder="1"/>
    <xf numFmtId="10" fontId="4" fillId="16" borderId="60" xfId="47" applyNumberFormat="1" applyFont="1" applyFill="1" applyBorder="1" applyAlignment="1">
      <alignment horizontal="center"/>
    </xf>
    <xf numFmtId="166" fontId="4" fillId="16" borderId="7" xfId="0" applyNumberFormat="1" applyFont="1" applyFill="1" applyBorder="1" applyAlignment="1">
      <alignment vertical="center"/>
    </xf>
    <xf numFmtId="44" fontId="4" fillId="16" borderId="7" xfId="46" applyFont="1" applyFill="1" applyBorder="1" applyAlignment="1">
      <alignment horizontal="center" vertical="center"/>
    </xf>
    <xf numFmtId="10" fontId="4" fillId="16" borderId="60" xfId="47" applyNumberFormat="1" applyFont="1" applyFill="1" applyBorder="1" applyAlignment="1">
      <alignment horizontal="center" vertical="center"/>
    </xf>
    <xf numFmtId="44" fontId="0" fillId="0" borderId="51" xfId="46" applyFont="1" applyBorder="1" applyAlignment="1">
      <alignment horizontal="center" vertical="center"/>
    </xf>
    <xf numFmtId="10" fontId="0" fillId="0" borderId="68" xfId="47" applyNumberFormat="1" applyFont="1" applyBorder="1" applyAlignment="1">
      <alignment horizontal="center" vertical="center"/>
    </xf>
    <xf numFmtId="10" fontId="0" fillId="0" borderId="63" xfId="47" applyNumberFormat="1" applyFont="1" applyBorder="1" applyAlignment="1">
      <alignment horizontal="center" vertical="center"/>
    </xf>
    <xf numFmtId="166" fontId="4" fillId="0" borderId="128" xfId="0" applyNumberFormat="1" applyFont="1" applyBorder="1"/>
    <xf numFmtId="166" fontId="4" fillId="0" borderId="129" xfId="0" applyNumberFormat="1" applyFont="1" applyBorder="1"/>
    <xf numFmtId="0" fontId="4" fillId="3" borderId="138" xfId="0" applyFont="1" applyFill="1" applyBorder="1" applyAlignment="1">
      <alignment horizontal="center"/>
    </xf>
    <xf numFmtId="166" fontId="4" fillId="3" borderId="139" xfId="0" applyNumberFormat="1" applyFont="1" applyFill="1" applyBorder="1" applyAlignment="1">
      <alignment horizontal="center"/>
    </xf>
    <xf numFmtId="166" fontId="27" fillId="31" borderId="140" xfId="0" applyNumberFormat="1" applyFont="1" applyFill="1" applyBorder="1"/>
    <xf numFmtId="10" fontId="27" fillId="31" borderId="141" xfId="47" applyNumberFormat="1" applyFont="1" applyFill="1" applyBorder="1" applyAlignment="1">
      <alignment horizontal="center"/>
    </xf>
    <xf numFmtId="166" fontId="4" fillId="16" borderId="138" xfId="0" applyNumberFormat="1" applyFont="1" applyFill="1" applyBorder="1"/>
    <xf numFmtId="10" fontId="4" fillId="16" borderId="142" xfId="47" applyNumberFormat="1" applyFont="1" applyFill="1" applyBorder="1" applyAlignment="1">
      <alignment horizontal="center"/>
    </xf>
    <xf numFmtId="166" fontId="0" fillId="0" borderId="134" xfId="0" applyNumberFormat="1" applyBorder="1" applyAlignment="1">
      <alignment vertical="center"/>
    </xf>
    <xf numFmtId="10" fontId="0" fillId="0" borderId="143" xfId="47" applyNumberFormat="1" applyFont="1" applyBorder="1" applyAlignment="1">
      <alignment horizontal="center" vertical="center"/>
    </xf>
    <xf numFmtId="166" fontId="0" fillId="0" borderId="135" xfId="0" applyNumberFormat="1" applyBorder="1" applyAlignment="1">
      <alignment vertical="center"/>
    </xf>
    <xf numFmtId="10" fontId="0" fillId="0" borderId="144" xfId="47" applyNumberFormat="1" applyFont="1" applyBorder="1" applyAlignment="1">
      <alignment horizontal="center" vertical="center"/>
    </xf>
    <xf numFmtId="166" fontId="4" fillId="16" borderId="138" xfId="0" applyNumberFormat="1" applyFont="1" applyFill="1" applyBorder="1" applyAlignment="1">
      <alignment vertical="center"/>
    </xf>
    <xf numFmtId="10" fontId="4" fillId="16" borderId="142" xfId="47" applyNumberFormat="1" applyFont="1" applyFill="1" applyBorder="1" applyAlignment="1">
      <alignment horizontal="center" vertical="center"/>
    </xf>
    <xf numFmtId="10" fontId="3" fillId="0" borderId="143" xfId="47" applyNumberFormat="1" applyFont="1" applyBorder="1" applyAlignment="1">
      <alignment horizontal="center" vertical="center"/>
    </xf>
    <xf numFmtId="166" fontId="0" fillId="0" borderId="135" xfId="0" applyNumberFormat="1" applyBorder="1"/>
    <xf numFmtId="10" fontId="3" fillId="0" borderId="144" xfId="47" applyNumberFormat="1" applyFont="1" applyBorder="1" applyAlignment="1">
      <alignment horizontal="center" vertical="center"/>
    </xf>
    <xf numFmtId="166" fontId="0" fillId="0" borderId="145" xfId="0" applyNumberFormat="1" applyBorder="1"/>
    <xf numFmtId="166" fontId="0" fillId="0" borderId="125" xfId="0" applyNumberFormat="1" applyBorder="1"/>
    <xf numFmtId="166" fontId="4" fillId="2" borderId="21" xfId="0" applyNumberFormat="1" applyFont="1" applyFill="1" applyBorder="1"/>
    <xf numFmtId="44" fontId="4" fillId="2" borderId="23" xfId="46" applyFont="1" applyFill="1" applyBorder="1" applyAlignment="1">
      <alignment horizontal="right"/>
    </xf>
    <xf numFmtId="166" fontId="60" fillId="0" borderId="46" xfId="0" applyNumberFormat="1" applyFont="1" applyBorder="1" applyAlignment="1">
      <alignment horizontal="right"/>
    </xf>
    <xf numFmtId="166" fontId="41" fillId="35" borderId="37" xfId="0" applyNumberFormat="1" applyFont="1" applyFill="1" applyBorder="1" applyAlignment="1">
      <alignment horizontal="center"/>
    </xf>
    <xf numFmtId="0" fontId="71" fillId="36" borderId="38" xfId="0" applyFont="1" applyFill="1" applyBorder="1" applyAlignment="1">
      <alignment horizontal="justify" vertical="center"/>
    </xf>
    <xf numFmtId="166" fontId="41" fillId="35" borderId="38" xfId="0" applyNumberFormat="1" applyFont="1" applyFill="1" applyBorder="1"/>
    <xf numFmtId="0" fontId="41" fillId="35" borderId="38" xfId="0" applyFont="1" applyFill="1" applyBorder="1" applyAlignment="1">
      <alignment horizontal="justify" vertical="center"/>
    </xf>
    <xf numFmtId="166" fontId="41" fillId="35" borderId="7" xfId="0" applyNumberFormat="1" applyFont="1" applyFill="1" applyBorder="1"/>
    <xf numFmtId="166" fontId="71" fillId="0" borderId="44" xfId="0" applyNumberFormat="1" applyFont="1" applyBorder="1"/>
    <xf numFmtId="3" fontId="4" fillId="0" borderId="14" xfId="0" applyNumberFormat="1" applyFont="1" applyBorder="1"/>
    <xf numFmtId="3" fontId="32" fillId="16" borderId="57" xfId="0" applyNumberFormat="1" applyFont="1" applyFill="1" applyBorder="1"/>
    <xf numFmtId="3" fontId="32" fillId="16" borderId="9" xfId="0" applyNumberFormat="1" applyFont="1" applyFill="1" applyBorder="1"/>
    <xf numFmtId="166" fontId="0" fillId="0" borderId="124" xfId="0" applyNumberFormat="1" applyBorder="1" applyAlignment="1">
      <alignment horizontal="center"/>
    </xf>
    <xf numFmtId="166" fontId="0" fillId="0" borderId="56" xfId="0" applyNumberForma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3" fontId="38" fillId="16" borderId="50" xfId="0" applyNumberFormat="1" applyFont="1" applyFill="1" applyBorder="1" applyAlignment="1">
      <alignment horizontal="center"/>
    </xf>
    <xf numFmtId="3" fontId="40" fillId="6" borderId="50" xfId="0" applyNumberFormat="1" applyFont="1" applyFill="1" applyBorder="1" applyAlignment="1">
      <alignment horizontal="center"/>
    </xf>
    <xf numFmtId="4" fontId="24" fillId="7" borderId="27" xfId="0" applyNumberFormat="1" applyFont="1" applyFill="1" applyBorder="1"/>
    <xf numFmtId="166" fontId="40" fillId="4" borderId="13" xfId="0" applyNumberFormat="1" applyFont="1" applyFill="1" applyBorder="1" applyAlignment="1">
      <alignment horizontal="center"/>
    </xf>
    <xf numFmtId="3" fontId="31" fillId="7" borderId="4" xfId="0" applyNumberFormat="1" applyFont="1" applyFill="1" applyBorder="1"/>
    <xf numFmtId="3" fontId="31" fillId="7" borderId="42" xfId="0" applyNumberFormat="1" applyFont="1" applyFill="1" applyBorder="1"/>
    <xf numFmtId="3" fontId="31" fillId="25" borderId="38" xfId="0" applyNumberFormat="1" applyFont="1" applyFill="1" applyBorder="1" applyAlignment="1">
      <alignment horizontal="right" vertical="center"/>
    </xf>
    <xf numFmtId="10" fontId="31" fillId="7" borderId="27" xfId="47" applyNumberFormat="1" applyFont="1" applyFill="1" applyBorder="1"/>
    <xf numFmtId="10" fontId="31" fillId="7" borderId="4" xfId="47" applyNumberFormat="1" applyFont="1" applyFill="1" applyBorder="1"/>
    <xf numFmtId="10" fontId="31" fillId="7" borderId="42" xfId="47" applyNumberFormat="1" applyFont="1" applyFill="1" applyBorder="1"/>
    <xf numFmtId="10" fontId="31" fillId="25" borderId="37" xfId="47" applyNumberFormat="1" applyFont="1" applyFill="1" applyBorder="1"/>
    <xf numFmtId="10" fontId="31" fillId="25" borderId="38" xfId="47" applyNumberFormat="1" applyFont="1" applyFill="1" applyBorder="1"/>
    <xf numFmtId="10" fontId="31" fillId="25" borderId="39" xfId="47" applyNumberFormat="1" applyFont="1" applyFill="1" applyBorder="1"/>
    <xf numFmtId="166" fontId="40" fillId="4" borderId="14" xfId="0" applyNumberFormat="1" applyFont="1" applyFill="1" applyBorder="1" applyAlignment="1">
      <alignment horizontal="center"/>
    </xf>
    <xf numFmtId="10" fontId="31" fillId="7" borderId="9" xfId="47" applyNumberFormat="1" applyFont="1" applyFill="1" applyBorder="1"/>
    <xf numFmtId="10" fontId="31" fillId="7" borderId="41" xfId="47" applyNumberFormat="1" applyFont="1" applyFill="1" applyBorder="1"/>
    <xf numFmtId="166" fontId="4" fillId="24" borderId="43" xfId="0" applyNumberFormat="1" applyFont="1" applyFill="1" applyBorder="1" applyAlignment="1">
      <alignment horizontal="center"/>
    </xf>
    <xf numFmtId="166" fontId="4" fillId="24" borderId="44" xfId="0" applyNumberFormat="1" applyFont="1" applyFill="1" applyBorder="1" applyAlignment="1">
      <alignment horizontal="center"/>
    </xf>
    <xf numFmtId="166" fontId="40" fillId="4" borderId="44" xfId="0" applyNumberFormat="1" applyFont="1" applyFill="1" applyBorder="1" applyAlignment="1">
      <alignment horizontal="center"/>
    </xf>
    <xf numFmtId="2" fontId="0" fillId="0" borderId="40" xfId="47" applyNumberFormat="1" applyFont="1" applyBorder="1"/>
    <xf numFmtId="2" fontId="0" fillId="0" borderId="72" xfId="47" applyNumberFormat="1" applyFont="1" applyBorder="1"/>
    <xf numFmtId="0" fontId="4" fillId="2" borderId="1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180" fontId="0" fillId="0" borderId="8" xfId="47" applyNumberFormat="1" applyFont="1" applyBorder="1"/>
    <xf numFmtId="2" fontId="0" fillId="0" borderId="8" xfId="47" applyNumberFormat="1" applyFont="1" applyBorder="1"/>
    <xf numFmtId="180" fontId="0" fillId="0" borderId="23" xfId="47" applyNumberFormat="1" applyFont="1" applyBorder="1"/>
    <xf numFmtId="166" fontId="0" fillId="0" borderId="149" xfId="0" applyNumberFormat="1" applyBorder="1"/>
    <xf numFmtId="166" fontId="0" fillId="0" borderId="69" xfId="0" applyNumberFormat="1" applyBorder="1" applyAlignment="1">
      <alignment horizontal="center"/>
    </xf>
    <xf numFmtId="166" fontId="0" fillId="0" borderId="133" xfId="0" applyNumberFormat="1" applyBorder="1"/>
    <xf numFmtId="166" fontId="0" fillId="0" borderId="150" xfId="0" applyNumberFormat="1" applyBorder="1"/>
    <xf numFmtId="166" fontId="0" fillId="0" borderId="146" xfId="0" applyNumberFormat="1" applyBorder="1"/>
    <xf numFmtId="166" fontId="0" fillId="0" borderId="137" xfId="0" applyNumberFormat="1" applyBorder="1" applyAlignment="1">
      <alignment horizontal="center"/>
    </xf>
    <xf numFmtId="3" fontId="0" fillId="0" borderId="0" xfId="47" applyNumberFormat="1" applyFont="1" applyAlignment="1">
      <alignment horizontal="center"/>
    </xf>
    <xf numFmtId="2" fontId="0" fillId="0" borderId="0" xfId="47" applyNumberFormat="1" applyFont="1" applyAlignment="1">
      <alignment horizontal="center"/>
    </xf>
    <xf numFmtId="166" fontId="4" fillId="23" borderId="155" xfId="0" applyNumberFormat="1" applyFont="1" applyFill="1" applyBorder="1"/>
    <xf numFmtId="166" fontId="4" fillId="23" borderId="156" xfId="0" applyNumberFormat="1" applyFont="1" applyFill="1" applyBorder="1"/>
    <xf numFmtId="166" fontId="0" fillId="23" borderId="157" xfId="0" applyNumberFormat="1" applyFill="1" applyBorder="1" applyAlignment="1">
      <alignment horizontal="center"/>
    </xf>
    <xf numFmtId="166" fontId="28" fillId="37" borderId="0" xfId="0" applyNumberFormat="1" applyFont="1" applyFill="1"/>
    <xf numFmtId="166" fontId="53" fillId="37" borderId="0" xfId="0" applyNumberFormat="1" applyFont="1" applyFill="1"/>
    <xf numFmtId="3" fontId="31" fillId="25" borderId="60" xfId="47" applyNumberFormat="1" applyFont="1" applyFill="1" applyBorder="1"/>
    <xf numFmtId="2" fontId="31" fillId="25" borderId="62" xfId="47" applyNumberFormat="1" applyFont="1" applyFill="1" applyBorder="1" applyAlignment="1">
      <alignment horizontal="right"/>
    </xf>
    <xf numFmtId="2" fontId="31" fillId="25" borderId="60" xfId="47" applyNumberFormat="1" applyFont="1" applyFill="1" applyBorder="1"/>
    <xf numFmtId="0" fontId="31" fillId="16" borderId="37" xfId="0" applyFont="1" applyFill="1" applyBorder="1" applyAlignment="1">
      <alignment horizontal="center"/>
    </xf>
    <xf numFmtId="3" fontId="32" fillId="16" borderId="39" xfId="0" applyNumberFormat="1" applyFont="1" applyFill="1" applyBorder="1" applyAlignment="1">
      <alignment horizontal="center"/>
    </xf>
    <xf numFmtId="3" fontId="31" fillId="16" borderId="7" xfId="0" applyNumberFormat="1" applyFont="1" applyFill="1" applyBorder="1" applyAlignment="1">
      <alignment horizontal="center"/>
    </xf>
    <xf numFmtId="2" fontId="25" fillId="4" borderId="75" xfId="47" applyNumberFormat="1" applyFont="1" applyFill="1" applyBorder="1" applyAlignment="1">
      <alignment horizontal="center"/>
    </xf>
    <xf numFmtId="180" fontId="25" fillId="4" borderId="75" xfId="47" applyNumberFormat="1" applyFont="1" applyFill="1" applyBorder="1" applyAlignment="1">
      <alignment horizontal="center"/>
    </xf>
    <xf numFmtId="180" fontId="31" fillId="7" borderId="32" xfId="47" applyNumberFormat="1" applyFont="1" applyFill="1" applyBorder="1" applyAlignment="1">
      <alignment horizontal="center"/>
    </xf>
    <xf numFmtId="185" fontId="31" fillId="7" borderId="32" xfId="0" applyNumberFormat="1" applyFont="1" applyFill="1" applyBorder="1" applyAlignment="1">
      <alignment vertical="center"/>
    </xf>
    <xf numFmtId="185" fontId="31" fillId="7" borderId="9" xfId="0" applyNumberFormat="1" applyFont="1" applyFill="1" applyBorder="1" applyAlignment="1">
      <alignment vertical="center"/>
    </xf>
    <xf numFmtId="4" fontId="28" fillId="7" borderId="17" xfId="0" applyNumberFormat="1" applyFont="1" applyFill="1" applyBorder="1" applyAlignment="1">
      <alignment horizontal="right"/>
    </xf>
    <xf numFmtId="166" fontId="64" fillId="25" borderId="52" xfId="0" applyNumberFormat="1" applyFont="1" applyFill="1" applyBorder="1"/>
    <xf numFmtId="166" fontId="64" fillId="25" borderId="0" xfId="0" applyNumberFormat="1" applyFont="1" applyFill="1"/>
    <xf numFmtId="0" fontId="60" fillId="0" borderId="7" xfId="0" applyFont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9" xfId="0" applyBorder="1" applyAlignment="1">
      <alignment horizontal="center"/>
    </xf>
    <xf numFmtId="166" fontId="0" fillId="30" borderId="119" xfId="0" applyNumberFormat="1" applyFill="1" applyBorder="1" applyAlignment="1">
      <alignment vertical="center"/>
    </xf>
    <xf numFmtId="44" fontId="0" fillId="30" borderId="119" xfId="46" applyFont="1" applyFill="1" applyBorder="1" applyAlignment="1">
      <alignment vertical="center"/>
    </xf>
    <xf numFmtId="166" fontId="0" fillId="30" borderId="118" xfId="0" applyNumberFormat="1" applyFill="1" applyBorder="1" applyAlignment="1">
      <alignment vertical="center"/>
    </xf>
    <xf numFmtId="44" fontId="0" fillId="30" borderId="118" xfId="46" applyFont="1" applyFill="1" applyBorder="1" applyAlignment="1">
      <alignment vertical="center"/>
    </xf>
    <xf numFmtId="166" fontId="56" fillId="30" borderId="75" xfId="0" applyNumberFormat="1" applyFont="1" applyFill="1" applyBorder="1" applyAlignment="1">
      <alignment vertical="center"/>
    </xf>
    <xf numFmtId="44" fontId="56" fillId="30" borderId="75" xfId="46" applyFont="1" applyFill="1" applyBorder="1" applyAlignment="1">
      <alignment horizontal="center" vertical="center"/>
    </xf>
    <xf numFmtId="10" fontId="56" fillId="30" borderId="84" xfId="47" applyNumberFormat="1" applyFont="1" applyFill="1" applyBorder="1" applyAlignment="1">
      <alignment horizontal="center" vertical="center"/>
    </xf>
    <xf numFmtId="4" fontId="4" fillId="24" borderId="0" xfId="0" applyNumberFormat="1" applyFont="1" applyFill="1"/>
    <xf numFmtId="4" fontId="25" fillId="24" borderId="0" xfId="0" applyNumberFormat="1" applyFont="1" applyFill="1"/>
    <xf numFmtId="4" fontId="4" fillId="24" borderId="0" xfId="0" applyNumberFormat="1" applyFont="1" applyFill="1" applyAlignment="1">
      <alignment vertical="center"/>
    </xf>
    <xf numFmtId="4" fontId="4" fillId="24" borderId="0" xfId="0" applyNumberFormat="1" applyFont="1" applyFill="1" applyAlignment="1">
      <alignment horizontal="right" vertical="center"/>
    </xf>
    <xf numFmtId="166" fontId="4" fillId="24" borderId="53" xfId="0" applyNumberFormat="1" applyFont="1" applyFill="1" applyBorder="1" applyAlignment="1">
      <alignment horizontal="center"/>
    </xf>
    <xf numFmtId="0" fontId="4" fillId="6" borderId="43" xfId="0" applyFont="1" applyFill="1" applyBorder="1" applyAlignment="1">
      <alignment horizontal="center" vertical="center"/>
    </xf>
    <xf numFmtId="0" fontId="0" fillId="0" borderId="38" xfId="0" applyBorder="1" applyAlignment="1">
      <alignment vertical="center"/>
    </xf>
    <xf numFmtId="166" fontId="0" fillId="0" borderId="39" xfId="0" applyNumberFormat="1" applyBorder="1" applyAlignment="1">
      <alignment vertical="center"/>
    </xf>
    <xf numFmtId="0" fontId="4" fillId="6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178" fontId="0" fillId="0" borderId="0" xfId="47" applyNumberFormat="1" applyFont="1"/>
    <xf numFmtId="166" fontId="4" fillId="0" borderId="52" xfId="0" applyNumberFormat="1" applyFont="1" applyBorder="1"/>
    <xf numFmtId="166" fontId="0" fillId="0" borderId="0" xfId="0" applyNumberFormat="1" applyAlignment="1">
      <alignment vertical="center"/>
    </xf>
    <xf numFmtId="3" fontId="0" fillId="0" borderId="46" xfId="0" applyNumberFormat="1" applyBorder="1" applyAlignment="1">
      <alignment vertical="center"/>
    </xf>
    <xf numFmtId="166" fontId="4" fillId="0" borderId="52" xfId="0" applyNumberFormat="1" applyFont="1" applyBorder="1" applyAlignment="1">
      <alignment wrapText="1"/>
    </xf>
    <xf numFmtId="4" fontId="0" fillId="0" borderId="0" xfId="0" applyNumberFormat="1" applyAlignment="1">
      <alignment horizontal="right" indent="4"/>
    </xf>
    <xf numFmtId="4" fontId="0" fillId="0" borderId="46" xfId="0" applyNumberFormat="1" applyBorder="1" applyAlignment="1">
      <alignment horizontal="right" indent="4"/>
    </xf>
    <xf numFmtId="177" fontId="0" fillId="0" borderId="21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4" fontId="0" fillId="0" borderId="47" xfId="47" applyNumberFormat="1" applyFont="1" applyBorder="1" applyAlignment="1">
      <alignment vertical="center"/>
    </xf>
    <xf numFmtId="180" fontId="0" fillId="0" borderId="22" xfId="47" applyNumberFormat="1" applyFont="1" applyBorder="1"/>
    <xf numFmtId="2" fontId="0" fillId="0" borderId="42" xfId="47" applyNumberFormat="1" applyFont="1" applyBorder="1"/>
    <xf numFmtId="177" fontId="0" fillId="0" borderId="40" xfId="0" applyNumberFormat="1" applyBorder="1" applyAlignment="1">
      <alignment vertical="center"/>
    </xf>
    <xf numFmtId="177" fontId="0" fillId="0" borderId="72" xfId="0" applyNumberFormat="1" applyBorder="1" applyAlignment="1">
      <alignment vertical="center"/>
    </xf>
    <xf numFmtId="3" fontId="31" fillId="7" borderId="63" xfId="0" applyNumberFormat="1" applyFont="1" applyFill="1" applyBorder="1"/>
    <xf numFmtId="3" fontId="32" fillId="23" borderId="38" xfId="0" applyNumberFormat="1" applyFont="1" applyFill="1" applyBorder="1" applyAlignment="1">
      <alignment vertical="center"/>
    </xf>
    <xf numFmtId="3" fontId="31" fillId="7" borderId="4" xfId="0" applyNumberFormat="1" applyFont="1" applyFill="1" applyBorder="1" applyAlignment="1">
      <alignment vertical="center"/>
    </xf>
    <xf numFmtId="3" fontId="31" fillId="7" borderId="5" xfId="0" applyNumberFormat="1" applyFont="1" applyFill="1" applyBorder="1" applyAlignment="1">
      <alignment vertical="center"/>
    </xf>
    <xf numFmtId="3" fontId="31" fillId="7" borderId="32" xfId="0" applyNumberFormat="1" applyFont="1" applyFill="1" applyBorder="1" applyAlignment="1">
      <alignment vertical="center"/>
    </xf>
    <xf numFmtId="166" fontId="4" fillId="0" borderId="8" xfId="0" applyNumberFormat="1" applyFont="1" applyBorder="1" applyAlignment="1">
      <alignment horizontal="center" vertical="center"/>
    </xf>
    <xf numFmtId="10" fontId="4" fillId="24" borderId="147" xfId="47" applyNumberFormat="1" applyFont="1" applyFill="1" applyBorder="1" applyAlignment="1">
      <alignment vertical="center"/>
    </xf>
    <xf numFmtId="166" fontId="4" fillId="0" borderId="31" xfId="0" applyNumberFormat="1" applyFont="1" applyBorder="1" applyAlignment="1">
      <alignment horizontal="center"/>
    </xf>
    <xf numFmtId="166" fontId="4" fillId="0" borderId="47" xfId="0" applyNumberFormat="1" applyFont="1" applyBorder="1" applyAlignment="1">
      <alignment horizontal="center"/>
    </xf>
    <xf numFmtId="10" fontId="4" fillId="0" borderId="74" xfId="47" applyNumberFormat="1" applyFont="1" applyBorder="1" applyAlignment="1">
      <alignment vertical="center"/>
    </xf>
    <xf numFmtId="10" fontId="4" fillId="24" borderId="163" xfId="47" applyNumberFormat="1" applyFont="1" applyFill="1" applyBorder="1" applyAlignment="1">
      <alignment vertical="center"/>
    </xf>
    <xf numFmtId="166" fontId="4" fillId="0" borderId="26" xfId="0" applyNumberFormat="1" applyFont="1" applyBorder="1" applyAlignment="1">
      <alignment horizontal="center"/>
    </xf>
    <xf numFmtId="176" fontId="0" fillId="0" borderId="27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66" fontId="4" fillId="0" borderId="47" xfId="0" applyNumberFormat="1" applyFont="1" applyBorder="1" applyAlignment="1">
      <alignment horizontal="center" vertical="center"/>
    </xf>
    <xf numFmtId="166" fontId="4" fillId="0" borderId="24" xfId="0" applyNumberFormat="1" applyFont="1" applyBorder="1" applyAlignment="1">
      <alignment horizontal="center" vertical="center"/>
    </xf>
    <xf numFmtId="166" fontId="4" fillId="24" borderId="75" xfId="0" applyNumberFormat="1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42" xfId="0" applyNumberFormat="1" applyFon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47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72" xfId="0" applyNumberFormat="1" applyBorder="1" applyAlignment="1">
      <alignment horizontal="center" vertical="center"/>
    </xf>
    <xf numFmtId="166" fontId="0" fillId="0" borderId="42" xfId="0" applyNumberFormat="1" applyBorder="1" applyAlignment="1">
      <alignment horizontal="center" vertical="center"/>
    </xf>
    <xf numFmtId="166" fontId="0" fillId="0" borderId="40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" fontId="0" fillId="0" borderId="5" xfId="0" applyNumberFormat="1" applyBorder="1" applyAlignment="1">
      <alignment vertical="center"/>
    </xf>
    <xf numFmtId="3" fontId="0" fillId="0" borderId="32" xfId="0" applyNumberFormat="1" applyBorder="1" applyAlignment="1">
      <alignment vertical="center"/>
    </xf>
    <xf numFmtId="0" fontId="8" fillId="6" borderId="60" xfId="0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/>
    </xf>
    <xf numFmtId="3" fontId="0" fillId="0" borderId="4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/>
    </xf>
    <xf numFmtId="166" fontId="0" fillId="0" borderId="38" xfId="0" applyNumberFormat="1" applyBorder="1" applyAlignment="1">
      <alignment horizontal="center"/>
    </xf>
    <xf numFmtId="166" fontId="0" fillId="0" borderId="26" xfId="0" applyNumberFormat="1" applyBorder="1"/>
    <xf numFmtId="166" fontId="0" fillId="0" borderId="28" xfId="0" applyNumberFormat="1" applyBorder="1"/>
    <xf numFmtId="166" fontId="0" fillId="0" borderId="29" xfId="0" applyNumberFormat="1" applyBorder="1"/>
    <xf numFmtId="10" fontId="0" fillId="0" borderId="31" xfId="47" applyNumberFormat="1" applyFont="1" applyBorder="1"/>
    <xf numFmtId="10" fontId="0" fillId="0" borderId="5" xfId="47" applyNumberFormat="1" applyFont="1" applyBorder="1"/>
    <xf numFmtId="10" fontId="0" fillId="0" borderId="32" xfId="47" applyNumberFormat="1" applyFont="1" applyBorder="1"/>
    <xf numFmtId="10" fontId="0" fillId="0" borderId="47" xfId="47" applyNumberFormat="1" applyFont="1" applyBorder="1"/>
    <xf numFmtId="10" fontId="0" fillId="0" borderId="40" xfId="47" applyNumberFormat="1" applyFont="1" applyBorder="1"/>
    <xf numFmtId="10" fontId="0" fillId="0" borderId="72" xfId="47" applyNumberFormat="1" applyFont="1" applyBorder="1"/>
    <xf numFmtId="166" fontId="4" fillId="0" borderId="37" xfId="0" applyNumberFormat="1" applyFont="1" applyBorder="1" applyAlignment="1">
      <alignment horizontal="center"/>
    </xf>
    <xf numFmtId="166" fontId="4" fillId="0" borderId="38" xfId="0" applyNumberFormat="1" applyFont="1" applyBorder="1" applyAlignment="1">
      <alignment horizontal="center"/>
    </xf>
    <xf numFmtId="166" fontId="4" fillId="0" borderId="39" xfId="0" applyNumberFormat="1" applyFont="1" applyBorder="1" applyAlignment="1">
      <alignment horizontal="center"/>
    </xf>
    <xf numFmtId="166" fontId="4" fillId="0" borderId="51" xfId="0" applyNumberFormat="1" applyFont="1" applyBorder="1" applyAlignment="1">
      <alignment horizontal="center"/>
    </xf>
    <xf numFmtId="10" fontId="4" fillId="25" borderId="7" xfId="47" applyNumberFormat="1" applyFont="1" applyFill="1" applyBorder="1"/>
    <xf numFmtId="10" fontId="0" fillId="0" borderId="39" xfId="47" applyNumberFormat="1" applyFont="1" applyBorder="1"/>
    <xf numFmtId="10" fontId="0" fillId="0" borderId="38" xfId="47" applyNumberFormat="1" applyFont="1" applyBorder="1"/>
    <xf numFmtId="166" fontId="0" fillId="0" borderId="37" xfId="0" applyNumberFormat="1" applyBorder="1"/>
    <xf numFmtId="3" fontId="32" fillId="23" borderId="33" xfId="0" applyNumberFormat="1" applyFont="1" applyFill="1" applyBorder="1" applyAlignment="1">
      <alignment horizontal="center"/>
    </xf>
    <xf numFmtId="3" fontId="32" fillId="16" borderId="34" xfId="0" applyNumberFormat="1" applyFont="1" applyFill="1" applyBorder="1" applyAlignment="1">
      <alignment horizontal="center"/>
    </xf>
    <xf numFmtId="3" fontId="32" fillId="23" borderId="34" xfId="0" applyNumberFormat="1" applyFont="1" applyFill="1" applyBorder="1" applyAlignment="1">
      <alignment horizontal="center"/>
    </xf>
    <xf numFmtId="3" fontId="31" fillId="25" borderId="25" xfId="0" applyNumberFormat="1" applyFont="1" applyFill="1" applyBorder="1" applyAlignment="1">
      <alignment horizontal="center"/>
    </xf>
    <xf numFmtId="3" fontId="31" fillId="7" borderId="25" xfId="0" applyNumberFormat="1" applyFont="1" applyFill="1" applyBorder="1" applyAlignment="1">
      <alignment horizontal="center"/>
    </xf>
    <xf numFmtId="3" fontId="32" fillId="16" borderId="56" xfId="0" applyNumberFormat="1" applyFont="1" applyFill="1" applyBorder="1" applyAlignment="1">
      <alignment horizontal="center"/>
    </xf>
    <xf numFmtId="3" fontId="32" fillId="16" borderId="2" xfId="0" applyNumberFormat="1" applyFont="1" applyFill="1" applyBorder="1" applyAlignment="1">
      <alignment horizontal="center"/>
    </xf>
    <xf numFmtId="166" fontId="0" fillId="0" borderId="124" xfId="0" applyNumberFormat="1" applyBorder="1" applyAlignment="1">
      <alignment horizontal="center" vertical="center"/>
    </xf>
    <xf numFmtId="166" fontId="0" fillId="0" borderId="56" xfId="0" applyNumberFormat="1" applyBorder="1" applyAlignment="1">
      <alignment horizontal="center" vertical="center"/>
    </xf>
    <xf numFmtId="3" fontId="32" fillId="23" borderId="47" xfId="0" applyNumberFormat="1" applyFont="1" applyFill="1" applyBorder="1" applyAlignment="1">
      <alignment horizontal="center"/>
    </xf>
    <xf numFmtId="3" fontId="32" fillId="25" borderId="47" xfId="0" applyNumberFormat="1" applyFont="1" applyFill="1" applyBorder="1" applyAlignment="1">
      <alignment horizontal="center"/>
    </xf>
    <xf numFmtId="3" fontId="32" fillId="25" borderId="56" xfId="0" applyNumberFormat="1" applyFont="1" applyFill="1" applyBorder="1" applyAlignment="1">
      <alignment horizontal="center"/>
    </xf>
    <xf numFmtId="3" fontId="32" fillId="7" borderId="47" xfId="0" applyNumberFormat="1" applyFont="1" applyFill="1" applyBorder="1" applyAlignment="1">
      <alignment horizontal="center" vertical="center" wrapText="1"/>
    </xf>
    <xf numFmtId="3" fontId="32" fillId="7" borderId="56" xfId="0" applyNumberFormat="1" applyFont="1" applyFill="1" applyBorder="1" applyAlignment="1">
      <alignment horizontal="center"/>
    </xf>
    <xf numFmtId="3" fontId="32" fillId="7" borderId="64" xfId="0" applyNumberFormat="1" applyFont="1" applyFill="1" applyBorder="1" applyAlignment="1">
      <alignment horizontal="center"/>
    </xf>
    <xf numFmtId="3" fontId="32" fillId="25" borderId="33" xfId="0" applyNumberFormat="1" applyFont="1" applyFill="1" applyBorder="1" applyAlignment="1">
      <alignment horizontal="center"/>
    </xf>
    <xf numFmtId="3" fontId="32" fillId="25" borderId="2" xfId="0" applyNumberFormat="1" applyFont="1" applyFill="1" applyBorder="1" applyAlignment="1">
      <alignment horizontal="center"/>
    </xf>
    <xf numFmtId="3" fontId="32" fillId="7" borderId="33" xfId="0" applyNumberFormat="1" applyFont="1" applyFill="1" applyBorder="1" applyAlignment="1">
      <alignment horizontal="center" vertical="center" wrapText="1"/>
    </xf>
    <xf numFmtId="3" fontId="32" fillId="7" borderId="2" xfId="0" applyNumberFormat="1" applyFont="1" applyFill="1" applyBorder="1" applyAlignment="1">
      <alignment horizontal="center"/>
    </xf>
    <xf numFmtId="3" fontId="32" fillId="7" borderId="66" xfId="0" applyNumberFormat="1" applyFont="1" applyFill="1" applyBorder="1" applyAlignment="1">
      <alignment horizontal="center"/>
    </xf>
    <xf numFmtId="3" fontId="32" fillId="25" borderId="38" xfId="0" applyNumberFormat="1" applyFont="1" applyFill="1" applyBorder="1" applyAlignment="1">
      <alignment horizontal="right" vertical="center"/>
    </xf>
    <xf numFmtId="3" fontId="32" fillId="7" borderId="4" xfId="0" applyNumberFormat="1" applyFont="1" applyFill="1" applyBorder="1" applyAlignment="1">
      <alignment horizontal="right" vertical="center" wrapText="1"/>
    </xf>
    <xf numFmtId="3" fontId="32" fillId="7" borderId="5" xfId="0" applyNumberFormat="1" applyFont="1" applyFill="1" applyBorder="1" applyAlignment="1">
      <alignment horizontal="right" vertical="center" wrapText="1"/>
    </xf>
    <xf numFmtId="166" fontId="32" fillId="4" borderId="51" xfId="0" applyNumberFormat="1" applyFont="1" applyFill="1" applyBorder="1" applyAlignment="1">
      <alignment vertical="center" wrapText="1"/>
    </xf>
    <xf numFmtId="4" fontId="31" fillId="2" borderId="26" xfId="0" applyNumberFormat="1" applyFont="1" applyFill="1" applyBorder="1"/>
    <xf numFmtId="4" fontId="28" fillId="2" borderId="28" xfId="0" applyNumberFormat="1" applyFont="1" applyFill="1" applyBorder="1" applyAlignment="1">
      <alignment horizontal="center"/>
    </xf>
    <xf numFmtId="4" fontId="31" fillId="2" borderId="33" xfId="0" applyNumberFormat="1" applyFont="1" applyFill="1" applyBorder="1"/>
    <xf numFmtId="4" fontId="28" fillId="2" borderId="6" xfId="0" applyNumberFormat="1" applyFont="1" applyFill="1" applyBorder="1" applyAlignment="1">
      <alignment horizontal="center" vertical="center"/>
    </xf>
    <xf numFmtId="4" fontId="28" fillId="0" borderId="30" xfId="0" applyNumberFormat="1" applyFont="1" applyBorder="1"/>
    <xf numFmtId="4" fontId="31" fillId="0" borderId="58" xfId="0" applyNumberFormat="1" applyFont="1" applyBorder="1" applyAlignment="1">
      <alignment horizontal="center" vertical="center"/>
    </xf>
    <xf numFmtId="166" fontId="28" fillId="23" borderId="13" xfId="0" applyNumberFormat="1" applyFont="1" applyFill="1" applyBorder="1"/>
    <xf numFmtId="166" fontId="28" fillId="23" borderId="14" xfId="0" applyNumberFormat="1" applyFont="1" applyFill="1" applyBorder="1"/>
    <xf numFmtId="166" fontId="28" fillId="23" borderId="60" xfId="0" applyNumberFormat="1" applyFont="1" applyFill="1" applyBorder="1"/>
    <xf numFmtId="10" fontId="0" fillId="0" borderId="50" xfId="47" applyNumberFormat="1" applyFont="1" applyBorder="1"/>
    <xf numFmtId="4" fontId="4" fillId="23" borderId="5" xfId="0" applyNumberFormat="1" applyFont="1" applyFill="1" applyBorder="1" applyAlignment="1">
      <alignment horizontal="center" vertical="center"/>
    </xf>
    <xf numFmtId="4" fontId="4" fillId="23" borderId="40" xfId="0" applyNumberFormat="1" applyFont="1" applyFill="1" applyBorder="1" applyAlignment="1">
      <alignment horizontal="center" vertical="center"/>
    </xf>
    <xf numFmtId="10" fontId="25" fillId="24" borderId="38" xfId="47" applyNumberFormat="1" applyFont="1" applyFill="1" applyBorder="1" applyAlignment="1">
      <alignment horizontal="center" vertical="center"/>
    </xf>
    <xf numFmtId="10" fontId="25" fillId="24" borderId="39" xfId="47" applyNumberFormat="1" applyFont="1" applyFill="1" applyBorder="1" applyAlignment="1">
      <alignment horizontal="center" vertical="center"/>
    </xf>
    <xf numFmtId="4" fontId="4" fillId="23" borderId="8" xfId="0" applyNumberFormat="1" applyFont="1" applyFill="1" applyBorder="1" applyAlignment="1">
      <alignment horizontal="center" vertical="center"/>
    </xf>
    <xf numFmtId="166" fontId="65" fillId="7" borderId="161" xfId="0" applyNumberFormat="1" applyFont="1" applyFill="1" applyBorder="1" applyAlignment="1">
      <alignment horizontal="center"/>
    </xf>
    <xf numFmtId="166" fontId="65" fillId="22" borderId="161" xfId="0" applyNumberFormat="1" applyFont="1" applyFill="1" applyBorder="1" applyAlignment="1">
      <alignment horizontal="center"/>
    </xf>
    <xf numFmtId="166" fontId="4" fillId="0" borderId="151" xfId="0" applyNumberFormat="1" applyFont="1" applyBorder="1" applyAlignment="1">
      <alignment wrapText="1"/>
    </xf>
    <xf numFmtId="166" fontId="4" fillId="24" borderId="83" xfId="0" applyNumberFormat="1" applyFont="1" applyFill="1" applyBorder="1" applyAlignment="1">
      <alignment vertical="center" wrapText="1"/>
    </xf>
    <xf numFmtId="166" fontId="4" fillId="0" borderId="165" xfId="0" applyNumberFormat="1" applyFon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4" fontId="4" fillId="0" borderId="166" xfId="0" applyNumberFormat="1" applyFont="1" applyBorder="1" applyAlignment="1">
      <alignment horizontal="center" vertical="center"/>
    </xf>
    <xf numFmtId="10" fontId="25" fillId="24" borderId="163" xfId="47" applyNumberFormat="1" applyFont="1" applyFill="1" applyBorder="1" applyAlignment="1">
      <alignment vertical="center"/>
    </xf>
    <xf numFmtId="166" fontId="4" fillId="0" borderId="26" xfId="0" applyNumberFormat="1" applyFont="1" applyBorder="1" applyAlignment="1">
      <alignment horizontal="center" vertical="center"/>
    </xf>
    <xf numFmtId="166" fontId="0" fillId="0" borderId="28" xfId="0" applyNumberFormat="1" applyBorder="1" applyAlignment="1">
      <alignment horizontal="center" vertical="center"/>
    </xf>
    <xf numFmtId="166" fontId="4" fillId="0" borderId="31" xfId="0" applyNumberFormat="1" applyFon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4" fillId="0" borderId="41" xfId="0" applyNumberFormat="1" applyFont="1" applyBorder="1" applyAlignment="1">
      <alignment horizontal="center" vertical="center"/>
    </xf>
    <xf numFmtId="4" fontId="0" fillId="0" borderId="123" xfId="0" applyNumberFormat="1" applyBorder="1" applyAlignment="1">
      <alignment horizontal="center" vertical="center"/>
    </xf>
    <xf numFmtId="10" fontId="25" fillId="24" borderId="75" xfId="47" applyNumberFormat="1" applyFont="1" applyFill="1" applyBorder="1" applyAlignment="1">
      <alignment vertical="center"/>
    </xf>
    <xf numFmtId="10" fontId="31" fillId="24" borderId="38" xfId="47" applyNumberFormat="1" applyFont="1" applyFill="1" applyBorder="1"/>
    <xf numFmtId="10" fontId="31" fillId="24" borderId="39" xfId="47" applyNumberFormat="1" applyFont="1" applyFill="1" applyBorder="1"/>
    <xf numFmtId="10" fontId="28" fillId="24" borderId="38" xfId="47" applyNumberFormat="1" applyFont="1" applyFill="1" applyBorder="1"/>
    <xf numFmtId="10" fontId="28" fillId="24" borderId="39" xfId="47" applyNumberFormat="1" applyFont="1" applyFill="1" applyBorder="1"/>
    <xf numFmtId="0" fontId="34" fillId="20" borderId="13" xfId="0" applyFont="1" applyFill="1" applyBorder="1" applyAlignment="1">
      <alignment horizontal="left"/>
    </xf>
    <xf numFmtId="0" fontId="34" fillId="20" borderId="14" xfId="0" applyFont="1" applyFill="1" applyBorder="1" applyAlignment="1">
      <alignment horizontal="left"/>
    </xf>
    <xf numFmtId="0" fontId="34" fillId="20" borderId="60" xfId="0" applyFont="1" applyFill="1" applyBorder="1" applyAlignment="1">
      <alignment horizontal="left"/>
    </xf>
    <xf numFmtId="3" fontId="40" fillId="25" borderId="64" xfId="0" applyNumberFormat="1" applyFont="1" applyFill="1" applyBorder="1" applyAlignment="1">
      <alignment horizontal="center"/>
    </xf>
    <xf numFmtId="44" fontId="24" fillId="0" borderId="0" xfId="0" applyNumberFormat="1" applyFont="1"/>
    <xf numFmtId="3" fontId="31" fillId="26" borderId="53" xfId="0" applyNumberFormat="1" applyFont="1" applyFill="1" applyBorder="1" applyAlignment="1">
      <alignment horizontal="center"/>
    </xf>
    <xf numFmtId="4" fontId="30" fillId="7" borderId="17" xfId="0" applyNumberFormat="1" applyFont="1" applyFill="1" applyBorder="1" applyAlignment="1">
      <alignment horizontal="right"/>
    </xf>
    <xf numFmtId="4" fontId="31" fillId="26" borderId="39" xfId="0" applyNumberFormat="1" applyFont="1" applyFill="1" applyBorder="1" applyAlignment="1">
      <alignment horizontal="center" vertical="center"/>
    </xf>
    <xf numFmtId="166" fontId="0" fillId="0" borderId="37" xfId="0" applyNumberFormat="1" applyBorder="1" applyAlignment="1">
      <alignment horizontal="center"/>
    </xf>
    <xf numFmtId="166" fontId="0" fillId="0" borderId="26" xfId="0" applyNumberFormat="1" applyBorder="1" applyAlignment="1">
      <alignment horizontal="center"/>
    </xf>
    <xf numFmtId="166" fontId="0" fillId="0" borderId="28" xfId="0" applyNumberFormat="1" applyBorder="1" applyAlignment="1">
      <alignment horizontal="center"/>
    </xf>
    <xf numFmtId="166" fontId="0" fillId="0" borderId="29" xfId="0" applyNumberFormat="1" applyBorder="1" applyAlignment="1">
      <alignment horizontal="center"/>
    </xf>
    <xf numFmtId="166" fontId="0" fillId="0" borderId="26" xfId="0" applyNumberFormat="1" applyBorder="1" applyAlignment="1">
      <alignment horizontal="center" vertical="center"/>
    </xf>
    <xf numFmtId="166" fontId="0" fillId="0" borderId="29" xfId="0" applyNumberFormat="1" applyBorder="1" applyAlignment="1">
      <alignment horizontal="center" vertical="center"/>
    </xf>
    <xf numFmtId="166" fontId="28" fillId="0" borderId="127" xfId="0" applyNumberFormat="1" applyFont="1" applyBorder="1"/>
    <xf numFmtId="166" fontId="28" fillId="0" borderId="11" xfId="0" applyNumberFormat="1" applyFont="1" applyBorder="1"/>
    <xf numFmtId="166" fontId="0" fillId="0" borderId="31" xfId="0" applyNumberFormat="1" applyBorder="1" applyAlignment="1">
      <alignment horizontal="center" vertical="center"/>
    </xf>
    <xf numFmtId="166" fontId="0" fillId="0" borderId="32" xfId="0" applyNumberFormat="1" applyBorder="1" applyAlignment="1">
      <alignment horizontal="center" vertical="center"/>
    </xf>
    <xf numFmtId="166" fontId="0" fillId="0" borderId="47" xfId="0" applyNumberFormat="1" applyBorder="1" applyAlignment="1">
      <alignment horizontal="center" vertical="center"/>
    </xf>
    <xf numFmtId="166" fontId="0" fillId="0" borderId="72" xfId="0" applyNumberFormat="1" applyBorder="1" applyAlignment="1">
      <alignment horizontal="center" vertical="center"/>
    </xf>
    <xf numFmtId="166" fontId="0" fillId="0" borderId="31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47" xfId="0" applyNumberFormat="1" applyBorder="1" applyAlignment="1">
      <alignment horizontal="center"/>
    </xf>
    <xf numFmtId="166" fontId="0" fillId="0" borderId="40" xfId="0" applyNumberFormat="1" applyBorder="1" applyAlignment="1">
      <alignment horizontal="center"/>
    </xf>
    <xf numFmtId="166" fontId="0" fillId="0" borderId="72" xfId="0" applyNumberFormat="1" applyBorder="1" applyAlignment="1">
      <alignment horizontal="center"/>
    </xf>
    <xf numFmtId="3" fontId="0" fillId="0" borderId="46" xfId="0" applyNumberFormat="1" applyBorder="1" applyAlignment="1">
      <alignment horizontal="left"/>
    </xf>
    <xf numFmtId="3" fontId="24" fillId="0" borderId="46" xfId="0" applyNumberFormat="1" applyFont="1" applyBorder="1" applyAlignment="1">
      <alignment horizontal="left" vertical="center" wrapText="1"/>
    </xf>
    <xf numFmtId="166" fontId="26" fillId="0" borderId="0" xfId="0" applyNumberFormat="1" applyFont="1"/>
    <xf numFmtId="9" fontId="26" fillId="0" borderId="0" xfId="47" applyFont="1"/>
    <xf numFmtId="187" fontId="0" fillId="0" borderId="0" xfId="0" applyNumberFormat="1"/>
    <xf numFmtId="0" fontId="24" fillId="4" borderId="26" xfId="0" applyFont="1" applyFill="1" applyBorder="1" applyAlignment="1">
      <alignment horizontal="left" vertical="center"/>
    </xf>
    <xf numFmtId="0" fontId="24" fillId="4" borderId="21" xfId="0" applyFont="1" applyFill="1" applyBorder="1" applyAlignment="1">
      <alignment horizontal="left" vertical="center"/>
    </xf>
    <xf numFmtId="0" fontId="24" fillId="4" borderId="31" xfId="0" applyFont="1" applyFill="1" applyBorder="1" applyAlignment="1">
      <alignment horizontal="left" vertical="center"/>
    </xf>
    <xf numFmtId="0" fontId="24" fillId="4" borderId="30" xfId="0" applyFont="1" applyFill="1" applyBorder="1" applyAlignment="1">
      <alignment horizontal="left" vertical="center"/>
    </xf>
    <xf numFmtId="44" fontId="0" fillId="0" borderId="51" xfId="46" applyFont="1" applyBorder="1" applyAlignment="1">
      <alignment horizontal="right"/>
    </xf>
    <xf numFmtId="7" fontId="0" fillId="0" borderId="45" xfId="46" applyNumberFormat="1" applyFont="1" applyBorder="1" applyAlignment="1">
      <alignment horizontal="right"/>
    </xf>
    <xf numFmtId="7" fontId="0" fillId="0" borderId="51" xfId="46" applyNumberFormat="1" applyFont="1" applyBorder="1" applyAlignment="1">
      <alignment horizontal="right" vertical="center"/>
    </xf>
    <xf numFmtId="0" fontId="4" fillId="23" borderId="43" xfId="0" applyFont="1" applyFill="1" applyBorder="1" applyAlignment="1">
      <alignment horizontal="center" vertical="center"/>
    </xf>
    <xf numFmtId="166" fontId="4" fillId="23" borderId="44" xfId="0" applyNumberFormat="1" applyFont="1" applyFill="1" applyBorder="1" applyAlignment="1">
      <alignment horizontal="center" vertical="center"/>
    </xf>
    <xf numFmtId="49" fontId="35" fillId="16" borderId="53" xfId="0" applyNumberFormat="1" applyFont="1" applyFill="1" applyBorder="1" applyAlignment="1">
      <alignment horizontal="center"/>
    </xf>
    <xf numFmtId="3" fontId="29" fillId="6" borderId="70" xfId="0" applyNumberFormat="1" applyFont="1" applyFill="1" applyBorder="1" applyAlignment="1">
      <alignment horizontal="center"/>
    </xf>
    <xf numFmtId="3" fontId="29" fillId="6" borderId="58" xfId="0" applyNumberFormat="1" applyFont="1" applyFill="1" applyBorder="1" applyAlignment="1">
      <alignment horizontal="center"/>
    </xf>
    <xf numFmtId="3" fontId="29" fillId="6" borderId="61" xfId="0" applyNumberFormat="1" applyFont="1" applyFill="1" applyBorder="1" applyAlignment="1">
      <alignment horizontal="center"/>
    </xf>
    <xf numFmtId="3" fontId="0" fillId="2" borderId="86" xfId="0" applyNumberFormat="1" applyFill="1" applyBorder="1"/>
    <xf numFmtId="0" fontId="0" fillId="2" borderId="62" xfId="0" applyFill="1" applyBorder="1"/>
    <xf numFmtId="4" fontId="24" fillId="16" borderId="38" xfId="0" applyNumberFormat="1" applyFont="1" applyFill="1" applyBorder="1"/>
    <xf numFmtId="4" fontId="24" fillId="6" borderId="4" xfId="0" applyNumberFormat="1" applyFont="1" applyFill="1" applyBorder="1"/>
    <xf numFmtId="4" fontId="24" fillId="6" borderId="63" xfId="0" applyNumberFormat="1" applyFont="1" applyFill="1" applyBorder="1"/>
    <xf numFmtId="4" fontId="4" fillId="23" borderId="7" xfId="0" applyNumberFormat="1" applyFont="1" applyFill="1" applyBorder="1" applyAlignment="1">
      <alignment horizontal="right" vertical="center"/>
    </xf>
    <xf numFmtId="4" fontId="0" fillId="0" borderId="51" xfId="0" applyNumberFormat="1" applyBorder="1" applyAlignment="1">
      <alignment horizontal="right" vertical="center"/>
    </xf>
    <xf numFmtId="4" fontId="0" fillId="0" borderId="38" xfId="0" applyNumberFormat="1" applyBorder="1" applyAlignment="1">
      <alignment horizontal="right" vertical="center"/>
    </xf>
    <xf numFmtId="166" fontId="0" fillId="0" borderId="45" xfId="0" applyNumberFormat="1" applyBorder="1" applyAlignment="1">
      <alignment horizontal="right" vertical="center"/>
    </xf>
    <xf numFmtId="4" fontId="4" fillId="23" borderId="37" xfId="0" applyNumberFormat="1" applyFont="1" applyFill="1" applyBorder="1" applyAlignment="1">
      <alignment horizontal="right" vertical="center"/>
    </xf>
    <xf numFmtId="4" fontId="0" fillId="0" borderId="44" xfId="0" applyNumberFormat="1" applyBorder="1" applyAlignment="1">
      <alignment horizontal="right" vertical="center"/>
    </xf>
    <xf numFmtId="4" fontId="0" fillId="0" borderId="45" xfId="0" applyNumberFormat="1" applyBorder="1" applyAlignment="1">
      <alignment horizontal="right" vertical="center"/>
    </xf>
    <xf numFmtId="4" fontId="4" fillId="4" borderId="44" xfId="0" applyNumberFormat="1" applyFont="1" applyFill="1" applyBorder="1" applyAlignment="1">
      <alignment horizontal="right" vertical="center"/>
    </xf>
    <xf numFmtId="4" fontId="25" fillId="23" borderId="7" xfId="0" applyNumberFormat="1" applyFont="1" applyFill="1" applyBorder="1" applyAlignment="1">
      <alignment horizontal="right" vertical="center" wrapText="1"/>
    </xf>
    <xf numFmtId="4" fontId="0" fillId="0" borderId="44" xfId="0" applyNumberFormat="1" applyBorder="1" applyAlignment="1">
      <alignment horizontal="right" vertical="center" wrapText="1"/>
    </xf>
    <xf numFmtId="4" fontId="0" fillId="4" borderId="44" xfId="0" applyNumberFormat="1" applyFill="1" applyBorder="1" applyAlignment="1">
      <alignment horizontal="right" vertical="center"/>
    </xf>
    <xf numFmtId="4" fontId="24" fillId="16" borderId="37" xfId="0" applyNumberFormat="1" applyFont="1" applyFill="1" applyBorder="1"/>
    <xf numFmtId="4" fontId="24" fillId="6" borderId="27" xfId="0" applyNumberFormat="1" applyFont="1" applyFill="1" applyBorder="1"/>
    <xf numFmtId="4" fontId="24" fillId="6" borderId="62" xfId="0" applyNumberFormat="1" applyFont="1" applyFill="1" applyBorder="1"/>
    <xf numFmtId="166" fontId="4" fillId="3" borderId="13" xfId="0" applyNumberFormat="1" applyFont="1" applyFill="1" applyBorder="1" applyAlignment="1">
      <alignment vertical="center" wrapText="1"/>
    </xf>
    <xf numFmtId="10" fontId="0" fillId="0" borderId="0" xfId="47" applyNumberFormat="1" applyFont="1" applyAlignment="1">
      <alignment vertical="center"/>
    </xf>
    <xf numFmtId="4" fontId="0" fillId="16" borderId="14" xfId="0" applyNumberFormat="1" applyFill="1" applyBorder="1"/>
    <xf numFmtId="3" fontId="25" fillId="4" borderId="69" xfId="0" applyNumberFormat="1" applyFont="1" applyFill="1" applyBorder="1" applyAlignment="1">
      <alignment horizontal="left"/>
    </xf>
    <xf numFmtId="3" fontId="25" fillId="4" borderId="67" xfId="0" applyNumberFormat="1" applyFont="1" applyFill="1" applyBorder="1" applyAlignment="1">
      <alignment horizontal="left"/>
    </xf>
    <xf numFmtId="3" fontId="0" fillId="0" borderId="60" xfId="0" applyNumberFormat="1" applyBorder="1"/>
    <xf numFmtId="166" fontId="0" fillId="4" borderId="86" xfId="0" applyNumberFormat="1" applyFill="1" applyBorder="1" applyAlignment="1">
      <alignment horizontal="right"/>
    </xf>
    <xf numFmtId="4" fontId="0" fillId="4" borderId="1" xfId="0" applyNumberFormat="1" applyFill="1" applyBorder="1" applyAlignment="1">
      <alignment horizontal="right"/>
    </xf>
    <xf numFmtId="166" fontId="0" fillId="0" borderId="48" xfId="0" applyNumberFormat="1" applyBorder="1"/>
    <xf numFmtId="4" fontId="27" fillId="0" borderId="44" xfId="0" applyNumberFormat="1" applyFont="1" applyBorder="1"/>
    <xf numFmtId="4" fontId="60" fillId="0" borderId="44" xfId="0" applyNumberFormat="1" applyFont="1" applyBorder="1" applyAlignment="1">
      <alignment horizontal="right"/>
    </xf>
    <xf numFmtId="4" fontId="0" fillId="4" borderId="0" xfId="0" applyNumberFormat="1" applyFill="1" applyAlignment="1">
      <alignment horizontal="right"/>
    </xf>
    <xf numFmtId="44" fontId="3" fillId="0" borderId="67" xfId="46" applyFont="1" applyBorder="1"/>
    <xf numFmtId="44" fontId="24" fillId="0" borderId="46" xfId="46" applyFont="1" applyBorder="1"/>
    <xf numFmtId="4" fontId="4" fillId="25" borderId="18" xfId="0" applyNumberFormat="1" applyFont="1" applyFill="1" applyBorder="1" applyAlignment="1">
      <alignment vertical="center"/>
    </xf>
    <xf numFmtId="3" fontId="8" fillId="34" borderId="7" xfId="0" applyNumberFormat="1" applyFont="1" applyFill="1" applyBorder="1" applyAlignment="1">
      <alignment horizontal="center" vertical="center"/>
    </xf>
    <xf numFmtId="3" fontId="38" fillId="16" borderId="14" xfId="0" applyNumberFormat="1" applyFont="1" applyFill="1" applyBorder="1" applyAlignment="1">
      <alignment horizontal="center"/>
    </xf>
    <xf numFmtId="3" fontId="32" fillId="16" borderId="1" xfId="0" applyNumberFormat="1" applyFont="1" applyFill="1" applyBorder="1" applyAlignment="1">
      <alignment horizontal="center"/>
    </xf>
    <xf numFmtId="3" fontId="32" fillId="16" borderId="124" xfId="0" applyNumberFormat="1" applyFont="1" applyFill="1" applyBorder="1" applyAlignment="1">
      <alignment horizontal="center"/>
    </xf>
    <xf numFmtId="4" fontId="0" fillId="0" borderId="1" xfId="0" applyNumberFormat="1" applyBorder="1"/>
    <xf numFmtId="4" fontId="4" fillId="0" borderId="14" xfId="0" applyNumberFormat="1" applyFont="1" applyBorder="1"/>
    <xf numFmtId="3" fontId="32" fillId="16" borderId="86" xfId="0" applyNumberFormat="1" applyFont="1" applyFill="1" applyBorder="1" applyAlignment="1">
      <alignment horizontal="center"/>
    </xf>
    <xf numFmtId="3" fontId="34" fillId="16" borderId="14" xfId="0" applyNumberFormat="1" applyFont="1" applyFill="1" applyBorder="1" applyAlignment="1">
      <alignment horizontal="center"/>
    </xf>
    <xf numFmtId="4" fontId="0" fillId="25" borderId="0" xfId="0" applyNumberFormat="1" applyFill="1"/>
    <xf numFmtId="10" fontId="31" fillId="0" borderId="61" xfId="47" applyNumberFormat="1" applyFont="1" applyBorder="1" applyAlignment="1">
      <alignment horizontal="center"/>
    </xf>
    <xf numFmtId="3" fontId="34" fillId="16" borderId="16" xfId="0" applyNumberFormat="1" applyFont="1" applyFill="1" applyBorder="1" applyAlignment="1">
      <alignment horizontal="center"/>
    </xf>
    <xf numFmtId="3" fontId="34" fillId="16" borderId="7" xfId="0" applyNumberFormat="1" applyFont="1" applyFill="1" applyBorder="1" applyAlignment="1">
      <alignment horizontal="center"/>
    </xf>
    <xf numFmtId="3" fontId="31" fillId="0" borderId="8" xfId="0" applyNumberFormat="1" applyFont="1" applyBorder="1" applyAlignment="1">
      <alignment horizontal="right"/>
    </xf>
    <xf numFmtId="2" fontId="31" fillId="0" borderId="5" xfId="0" applyNumberFormat="1" applyFont="1" applyBorder="1" applyAlignment="1">
      <alignment horizontal="right"/>
    </xf>
    <xf numFmtId="2" fontId="31" fillId="0" borderId="40" xfId="0" applyNumberFormat="1" applyFont="1" applyBorder="1" applyAlignment="1">
      <alignment horizontal="right"/>
    </xf>
    <xf numFmtId="4" fontId="31" fillId="0" borderId="40" xfId="0" applyNumberFormat="1" applyFont="1" applyBorder="1" applyAlignment="1">
      <alignment horizontal="right"/>
    </xf>
    <xf numFmtId="166" fontId="28" fillId="2" borderId="62" xfId="0" applyNumberFormat="1" applyFont="1" applyFill="1" applyBorder="1" applyAlignment="1">
      <alignment horizontal="center" vertical="center"/>
    </xf>
    <xf numFmtId="3" fontId="31" fillId="0" borderId="68" xfId="0" applyNumberFormat="1" applyFont="1" applyBorder="1" applyAlignment="1">
      <alignment horizontal="right"/>
    </xf>
    <xf numFmtId="2" fontId="31" fillId="0" borderId="63" xfId="0" applyNumberFormat="1" applyFont="1" applyBorder="1" applyAlignment="1">
      <alignment horizontal="right"/>
    </xf>
    <xf numFmtId="2" fontId="31" fillId="0" borderId="64" xfId="0" applyNumberFormat="1" applyFont="1" applyBorder="1" applyAlignment="1">
      <alignment horizontal="right"/>
    </xf>
    <xf numFmtId="4" fontId="31" fillId="0" borderId="64" xfId="0" applyNumberFormat="1" applyFont="1" applyBorder="1" applyAlignment="1">
      <alignment horizontal="right"/>
    </xf>
    <xf numFmtId="10" fontId="26" fillId="0" borderId="0" xfId="47" applyNumberFormat="1" applyFont="1"/>
    <xf numFmtId="176" fontId="0" fillId="0" borderId="0" xfId="0" applyNumberFormat="1"/>
    <xf numFmtId="4" fontId="34" fillId="26" borderId="7" xfId="0" applyNumberFormat="1" applyFont="1" applyFill="1" applyBorder="1" applyAlignment="1">
      <alignment horizontal="center"/>
    </xf>
    <xf numFmtId="4" fontId="4" fillId="24" borderId="13" xfId="0" applyNumberFormat="1" applyFont="1" applyFill="1" applyBorder="1"/>
    <xf numFmtId="4" fontId="4" fillId="24" borderId="14" xfId="0" applyNumberFormat="1" applyFont="1" applyFill="1" applyBorder="1"/>
    <xf numFmtId="166" fontId="0" fillId="0" borderId="63" xfId="0" applyNumberFormat="1" applyBorder="1" applyAlignment="1">
      <alignment horizontal="center"/>
    </xf>
    <xf numFmtId="3" fontId="32" fillId="16" borderId="63" xfId="0" applyNumberFormat="1" applyFont="1" applyFill="1" applyBorder="1" applyAlignment="1">
      <alignment horizontal="center"/>
    </xf>
    <xf numFmtId="3" fontId="32" fillId="16" borderId="64" xfId="0" applyNumberFormat="1" applyFont="1" applyFill="1" applyBorder="1" applyAlignment="1">
      <alignment horizontal="center"/>
    </xf>
    <xf numFmtId="166" fontId="55" fillId="18" borderId="0" xfId="0" applyNumberFormat="1" applyFont="1" applyFill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16" xfId="0" applyFont="1" applyFill="1" applyBorder="1" applyAlignment="1">
      <alignment horizontal="center"/>
    </xf>
    <xf numFmtId="0" fontId="24" fillId="16" borderId="38" xfId="0" applyFont="1" applyFill="1" applyBorder="1"/>
    <xf numFmtId="44" fontId="67" fillId="16" borderId="63" xfId="0" applyNumberFormat="1" applyFont="1" applyFill="1" applyBorder="1"/>
    <xf numFmtId="0" fontId="24" fillId="16" borderId="38" xfId="0" applyFont="1" applyFill="1" applyBorder="1" applyAlignment="1">
      <alignment wrapText="1"/>
    </xf>
    <xf numFmtId="0" fontId="24" fillId="16" borderId="45" xfId="0" applyFont="1" applyFill="1" applyBorder="1"/>
    <xf numFmtId="44" fontId="67" fillId="16" borderId="66" xfId="0" applyNumberFormat="1" applyFont="1" applyFill="1" applyBorder="1"/>
    <xf numFmtId="0" fontId="24" fillId="5" borderId="51" xfId="0" applyFont="1" applyFill="1" applyBorder="1"/>
    <xf numFmtId="44" fontId="67" fillId="5" borderId="68" xfId="0" applyNumberFormat="1" applyFont="1" applyFill="1" applyBorder="1"/>
    <xf numFmtId="0" fontId="24" fillId="5" borderId="38" xfId="0" applyFont="1" applyFill="1" applyBorder="1"/>
    <xf numFmtId="44" fontId="67" fillId="5" borderId="63" xfId="46" applyFont="1" applyFill="1" applyBorder="1"/>
    <xf numFmtId="176" fontId="30" fillId="25" borderId="0" xfId="0" applyNumberFormat="1" applyFont="1" applyFill="1" applyAlignment="1">
      <alignment horizontal="center"/>
    </xf>
    <xf numFmtId="166" fontId="30" fillId="23" borderId="0" xfId="0" applyNumberFormat="1" applyFont="1" applyFill="1" applyAlignment="1">
      <alignment horizontal="center"/>
    </xf>
    <xf numFmtId="176" fontId="30" fillId="23" borderId="0" xfId="0" applyNumberFormat="1" applyFont="1" applyFill="1" applyAlignment="1">
      <alignment horizontal="center"/>
    </xf>
    <xf numFmtId="166" fontId="64" fillId="18" borderId="60" xfId="0" applyNumberFormat="1" applyFont="1" applyFill="1" applyBorder="1" applyAlignment="1">
      <alignment horizontal="center"/>
    </xf>
    <xf numFmtId="166" fontId="74" fillId="0" borderId="0" xfId="0" applyNumberFormat="1" applyFont="1"/>
    <xf numFmtId="4" fontId="54" fillId="15" borderId="0" xfId="0" applyNumberFormat="1" applyFont="1" applyFill="1"/>
    <xf numFmtId="166" fontId="0" fillId="0" borderId="44" xfId="0" applyNumberFormat="1" applyBorder="1" applyAlignment="1">
      <alignment horizontal="left"/>
    </xf>
    <xf numFmtId="166" fontId="31" fillId="4" borderId="7" xfId="0" applyNumberFormat="1" applyFont="1" applyFill="1" applyBorder="1" applyAlignment="1">
      <alignment horizontal="left"/>
    </xf>
    <xf numFmtId="44" fontId="4" fillId="2" borderId="68" xfId="46" applyFont="1" applyFill="1" applyBorder="1" applyAlignment="1">
      <alignment horizontal="right"/>
    </xf>
    <xf numFmtId="44" fontId="4" fillId="2" borderId="63" xfId="46" applyFont="1" applyFill="1" applyBorder="1" applyAlignment="1">
      <alignment horizontal="right"/>
    </xf>
    <xf numFmtId="14" fontId="0" fillId="0" borderId="46" xfId="0" applyNumberFormat="1" applyBorder="1"/>
    <xf numFmtId="44" fontId="0" fillId="0" borderId="64" xfId="46" applyFont="1" applyBorder="1"/>
    <xf numFmtId="44" fontId="25" fillId="0" borderId="5" xfId="46" applyFont="1" applyBorder="1" applyAlignment="1">
      <alignment vertical="center"/>
    </xf>
    <xf numFmtId="44" fontId="24" fillId="0" borderId="5" xfId="46" applyFont="1" applyBorder="1" applyAlignment="1">
      <alignment vertical="center"/>
    </xf>
    <xf numFmtId="0" fontId="4" fillId="3" borderId="60" xfId="0" applyFont="1" applyFill="1" applyBorder="1" applyAlignment="1">
      <alignment horizontal="center"/>
    </xf>
    <xf numFmtId="4" fontId="72" fillId="2" borderId="6" xfId="0" applyNumberFormat="1" applyFont="1" applyFill="1" applyBorder="1" applyAlignment="1">
      <alignment horizontal="center" vertical="center" wrapText="1"/>
    </xf>
    <xf numFmtId="166" fontId="4" fillId="26" borderId="7" xfId="0" applyNumberFormat="1" applyFont="1" applyFill="1" applyBorder="1" applyAlignment="1">
      <alignment horizontal="center"/>
    </xf>
    <xf numFmtId="0" fontId="4" fillId="26" borderId="7" xfId="0" applyFont="1" applyFill="1" applyBorder="1" applyAlignment="1">
      <alignment horizontal="center"/>
    </xf>
    <xf numFmtId="4" fontId="28" fillId="37" borderId="15" xfId="0" applyNumberFormat="1" applyFont="1" applyFill="1" applyBorder="1" applyAlignment="1">
      <alignment horizontal="center"/>
    </xf>
    <xf numFmtId="0" fontId="28" fillId="37" borderId="17" xfId="0" applyFont="1" applyFill="1" applyBorder="1" applyAlignment="1">
      <alignment horizontal="center"/>
    </xf>
    <xf numFmtId="4" fontId="28" fillId="37" borderId="17" xfId="0" applyNumberFormat="1" applyFont="1" applyFill="1" applyBorder="1" applyAlignment="1">
      <alignment horizontal="center"/>
    </xf>
    <xf numFmtId="4" fontId="28" fillId="37" borderId="18" xfId="0" applyNumberFormat="1" applyFont="1" applyFill="1" applyBorder="1" applyAlignment="1">
      <alignment horizontal="center"/>
    </xf>
    <xf numFmtId="3" fontId="38" fillId="16" borderId="70" xfId="0" applyNumberFormat="1" applyFont="1" applyFill="1" applyBorder="1" applyAlignment="1">
      <alignment horizontal="center"/>
    </xf>
    <xf numFmtId="3" fontId="39" fillId="23" borderId="53" xfId="0" applyNumberFormat="1" applyFont="1" applyFill="1" applyBorder="1" applyAlignment="1">
      <alignment horizontal="center"/>
    </xf>
    <xf numFmtId="3" fontId="40" fillId="25" borderId="70" xfId="0" applyNumberFormat="1" applyFont="1" applyFill="1" applyBorder="1" applyAlignment="1">
      <alignment horizontal="center"/>
    </xf>
    <xf numFmtId="3" fontId="40" fillId="6" borderId="58" xfId="0" applyNumberFormat="1" applyFont="1" applyFill="1" applyBorder="1" applyAlignment="1">
      <alignment horizontal="center"/>
    </xf>
    <xf numFmtId="0" fontId="28" fillId="16" borderId="15" xfId="0" applyFont="1" applyFill="1" applyBorder="1" applyAlignment="1">
      <alignment horizontal="center"/>
    </xf>
    <xf numFmtId="0" fontId="28" fillId="16" borderId="16" xfId="0" applyFont="1" applyFill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5" borderId="16" xfId="0" applyFont="1" applyFill="1" applyBorder="1" applyAlignment="1">
      <alignment horizontal="center"/>
    </xf>
    <xf numFmtId="0" fontId="28" fillId="6" borderId="17" xfId="0" applyFont="1" applyFill="1" applyBorder="1" applyAlignment="1">
      <alignment horizontal="center"/>
    </xf>
    <xf numFmtId="0" fontId="28" fillId="26" borderId="14" xfId="0" applyFont="1" applyFill="1" applyBorder="1" applyAlignment="1">
      <alignment horizontal="center"/>
    </xf>
    <xf numFmtId="3" fontId="38" fillId="26" borderId="11" xfId="0" applyNumberFormat="1" applyFont="1" applyFill="1" applyBorder="1" applyAlignment="1">
      <alignment horizontal="center"/>
    </xf>
    <xf numFmtId="3" fontId="38" fillId="26" borderId="15" xfId="0" applyNumberFormat="1" applyFont="1" applyFill="1" applyBorder="1" applyAlignment="1">
      <alignment horizontal="center"/>
    </xf>
    <xf numFmtId="3" fontId="38" fillId="26" borderId="60" xfId="0" applyNumberFormat="1" applyFont="1" applyFill="1" applyBorder="1" applyAlignment="1">
      <alignment horizontal="center"/>
    </xf>
    <xf numFmtId="3" fontId="38" fillId="26" borderId="14" xfId="0" applyNumberFormat="1" applyFont="1" applyFill="1" applyBorder="1" applyAlignment="1">
      <alignment horizontal="center"/>
    </xf>
    <xf numFmtId="3" fontId="40" fillId="26" borderId="15" xfId="0" applyNumberFormat="1" applyFont="1" applyFill="1" applyBorder="1" applyAlignment="1">
      <alignment horizontal="center"/>
    </xf>
    <xf numFmtId="3" fontId="40" fillId="26" borderId="60" xfId="0" applyNumberFormat="1" applyFont="1" applyFill="1" applyBorder="1" applyAlignment="1">
      <alignment horizontal="center"/>
    </xf>
    <xf numFmtId="166" fontId="4" fillId="26" borderId="7" xfId="0" applyNumberFormat="1" applyFont="1" applyFill="1" applyBorder="1"/>
    <xf numFmtId="166" fontId="34" fillId="0" borderId="76" xfId="0" applyNumberFormat="1" applyFont="1" applyBorder="1"/>
    <xf numFmtId="0" fontId="0" fillId="0" borderId="0" xfId="0" applyAlignment="1">
      <alignment horizontal="left"/>
    </xf>
    <xf numFmtId="44" fontId="0" fillId="0" borderId="5" xfId="0" applyNumberFormat="1" applyBorder="1"/>
    <xf numFmtId="0" fontId="0" fillId="4" borderId="4" xfId="0" applyFill="1" applyBorder="1" applyAlignment="1">
      <alignment wrapText="1"/>
    </xf>
    <xf numFmtId="44" fontId="25" fillId="0" borderId="21" xfId="0" applyNumberFormat="1" applyFont="1" applyBorder="1" applyAlignment="1">
      <alignment horizontal="left"/>
    </xf>
    <xf numFmtId="44" fontId="24" fillId="5" borderId="31" xfId="0" applyNumberFormat="1" applyFont="1" applyFill="1" applyBorder="1" applyAlignment="1">
      <alignment horizontal="left"/>
    </xf>
    <xf numFmtId="0" fontId="24" fillId="23" borderId="31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166" fontId="34" fillId="3" borderId="7" xfId="0" applyNumberFormat="1" applyFont="1" applyFill="1" applyBorder="1"/>
    <xf numFmtId="4" fontId="0" fillId="6" borderId="73" xfId="0" applyNumberFormat="1" applyFill="1" applyBorder="1"/>
    <xf numFmtId="4" fontId="0" fillId="23" borderId="22" xfId="0" applyNumberFormat="1" applyFill="1" applyBorder="1"/>
    <xf numFmtId="4" fontId="0" fillId="6" borderId="161" xfId="0" applyNumberFormat="1" applyFill="1" applyBorder="1"/>
    <xf numFmtId="4" fontId="0" fillId="6" borderId="54" xfId="0" applyNumberFormat="1" applyFill="1" applyBorder="1"/>
    <xf numFmtId="166" fontId="53" fillId="0" borderId="0" xfId="0" applyNumberFormat="1" applyFont="1" applyAlignment="1">
      <alignment horizontal="left" wrapText="1"/>
    </xf>
    <xf numFmtId="0" fontId="78" fillId="0" borderId="0" xfId="0" applyFont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0" fontId="4" fillId="6" borderId="44" xfId="0" applyFont="1" applyFill="1" applyBorder="1" applyAlignment="1">
      <alignment horizontal="center" vertical="center"/>
    </xf>
    <xf numFmtId="3" fontId="4" fillId="0" borderId="13" xfId="0" applyNumberFormat="1" applyFont="1" applyBorder="1"/>
    <xf numFmtId="166" fontId="25" fillId="3" borderId="13" xfId="0" applyNumberFormat="1" applyFont="1" applyFill="1" applyBorder="1" applyAlignment="1">
      <alignment horizontal="left" vertical="center" wrapText="1"/>
    </xf>
    <xf numFmtId="3" fontId="32" fillId="25" borderId="14" xfId="0" applyNumberFormat="1" applyFont="1" applyFill="1" applyBorder="1" applyAlignment="1">
      <alignment horizontal="right"/>
    </xf>
    <xf numFmtId="4" fontId="30" fillId="26" borderId="59" xfId="0" applyNumberFormat="1" applyFont="1" applyFill="1" applyBorder="1" applyAlignment="1">
      <alignment horizontal="center"/>
    </xf>
    <xf numFmtId="3" fontId="31" fillId="7" borderId="20" xfId="0" applyNumberFormat="1" applyFont="1" applyFill="1" applyBorder="1" applyAlignment="1">
      <alignment horizontal="right"/>
    </xf>
    <xf numFmtId="166" fontId="0" fillId="0" borderId="58" xfId="0" applyNumberFormat="1" applyBorder="1" applyAlignment="1">
      <alignment horizontal="right"/>
    </xf>
    <xf numFmtId="4" fontId="30" fillId="7" borderId="179" xfId="0" applyNumberFormat="1" applyFont="1" applyFill="1" applyBorder="1" applyAlignment="1">
      <alignment horizontal="right"/>
    </xf>
    <xf numFmtId="4" fontId="28" fillId="7" borderId="180" xfId="0" applyNumberFormat="1" applyFont="1" applyFill="1" applyBorder="1" applyAlignment="1">
      <alignment horizontal="right"/>
    </xf>
    <xf numFmtId="4" fontId="28" fillId="7" borderId="178" xfId="0" applyNumberFormat="1" applyFont="1" applyFill="1" applyBorder="1" applyAlignment="1">
      <alignment horizontal="right"/>
    </xf>
    <xf numFmtId="4" fontId="24" fillId="16" borderId="73" xfId="0" applyNumberFormat="1" applyFont="1" applyFill="1" applyBorder="1"/>
    <xf numFmtId="4" fontId="4" fillId="7" borderId="19" xfId="0" applyNumberFormat="1" applyFont="1" applyFill="1" applyBorder="1"/>
    <xf numFmtId="4" fontId="4" fillId="7" borderId="20" xfId="0" applyNumberFormat="1" applyFont="1" applyFill="1" applyBorder="1"/>
    <xf numFmtId="4" fontId="24" fillId="7" borderId="179" xfId="0" applyNumberFormat="1" applyFont="1" applyFill="1" applyBorder="1"/>
    <xf numFmtId="4" fontId="24" fillId="7" borderId="177" xfId="0" applyNumberFormat="1" applyFont="1" applyFill="1" applyBorder="1"/>
    <xf numFmtId="4" fontId="24" fillId="7" borderId="172" xfId="0" applyNumberFormat="1" applyFont="1" applyFill="1" applyBorder="1"/>
    <xf numFmtId="4" fontId="4" fillId="0" borderId="181" xfId="0" applyNumberFormat="1" applyFont="1" applyBorder="1"/>
    <xf numFmtId="4" fontId="4" fillId="0" borderId="182" xfId="0" applyNumberFormat="1" applyFont="1" applyBorder="1"/>
    <xf numFmtId="4" fontId="4" fillId="0" borderId="172" xfId="0" applyNumberFormat="1" applyFont="1" applyBorder="1"/>
    <xf numFmtId="3" fontId="31" fillId="7" borderId="16" xfId="0" applyNumberFormat="1" applyFont="1" applyFill="1" applyBorder="1" applyAlignment="1">
      <alignment horizontal="right"/>
    </xf>
    <xf numFmtId="3" fontId="40" fillId="6" borderId="6" xfId="0" applyNumberFormat="1" applyFont="1" applyFill="1" applyBorder="1" applyAlignment="1">
      <alignment horizontal="center"/>
    </xf>
    <xf numFmtId="3" fontId="32" fillId="25" borderId="73" xfId="0" applyNumberFormat="1" applyFont="1" applyFill="1" applyBorder="1" applyAlignment="1">
      <alignment horizontal="right"/>
    </xf>
    <xf numFmtId="166" fontId="40" fillId="4" borderId="67" xfId="0" applyNumberFormat="1" applyFont="1" applyFill="1" applyBorder="1" applyAlignment="1">
      <alignment horizontal="center"/>
    </xf>
    <xf numFmtId="3" fontId="31" fillId="7" borderId="22" xfId="0" applyNumberFormat="1" applyFont="1" applyFill="1" applyBorder="1"/>
    <xf numFmtId="3" fontId="28" fillId="7" borderId="161" xfId="0" applyNumberFormat="1" applyFont="1" applyFill="1" applyBorder="1"/>
    <xf numFmtId="10" fontId="25" fillId="24" borderId="51" xfId="47" applyNumberFormat="1" applyFont="1" applyFill="1" applyBorder="1" applyAlignment="1">
      <alignment horizontal="center" vertical="center"/>
    </xf>
    <xf numFmtId="166" fontId="0" fillId="0" borderId="176" xfId="0" applyNumberFormat="1" applyBorder="1" applyAlignment="1">
      <alignment vertical="center"/>
    </xf>
    <xf numFmtId="166" fontId="0" fillId="0" borderId="182" xfId="0" applyNumberFormat="1" applyBorder="1" applyAlignment="1">
      <alignment horizontal="center" vertical="center"/>
    </xf>
    <xf numFmtId="4" fontId="4" fillId="23" borderId="161" xfId="0" applyNumberFormat="1" applyFont="1" applyFill="1" applyBorder="1" applyAlignment="1">
      <alignment horizontal="center" vertical="center"/>
    </xf>
    <xf numFmtId="10" fontId="25" fillId="24" borderId="161" xfId="47" applyNumberFormat="1" applyFont="1" applyFill="1" applyBorder="1" applyAlignment="1">
      <alignment horizontal="center" vertical="center"/>
    </xf>
    <xf numFmtId="3" fontId="30" fillId="7" borderId="161" xfId="0" applyNumberFormat="1" applyFont="1" applyFill="1" applyBorder="1" applyAlignment="1">
      <alignment horizontal="right"/>
    </xf>
    <xf numFmtId="166" fontId="31" fillId="4" borderId="44" xfId="0" applyNumberFormat="1" applyFont="1" applyFill="1" applyBorder="1" applyAlignment="1">
      <alignment horizontal="center"/>
    </xf>
    <xf numFmtId="3" fontId="40" fillId="6" borderId="66" xfId="0" applyNumberFormat="1" applyFont="1" applyFill="1" applyBorder="1" applyAlignment="1">
      <alignment horizontal="center"/>
    </xf>
    <xf numFmtId="3" fontId="40" fillId="6" borderId="45" xfId="0" applyNumberFormat="1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166" fontId="4" fillId="0" borderId="176" xfId="0" applyNumberFormat="1" applyFont="1" applyBorder="1"/>
    <xf numFmtId="166" fontId="4" fillId="0" borderId="177" xfId="0" applyNumberFormat="1" applyFont="1" applyBorder="1" applyAlignment="1">
      <alignment horizontal="center"/>
    </xf>
    <xf numFmtId="3" fontId="4" fillId="0" borderId="180" xfId="0" applyNumberFormat="1" applyFont="1" applyBorder="1" applyAlignment="1">
      <alignment horizontal="right"/>
    </xf>
    <xf numFmtId="3" fontId="4" fillId="0" borderId="183" xfId="0" applyNumberFormat="1" applyFont="1" applyBorder="1" applyAlignment="1">
      <alignment horizontal="right"/>
    </xf>
    <xf numFmtId="3" fontId="4" fillId="0" borderId="178" xfId="0" applyNumberFormat="1" applyFont="1" applyBorder="1" applyAlignment="1">
      <alignment horizontal="right"/>
    </xf>
    <xf numFmtId="0" fontId="0" fillId="6" borderId="52" xfId="0" applyFill="1" applyBorder="1"/>
    <xf numFmtId="44" fontId="0" fillId="6" borderId="161" xfId="46" applyFont="1" applyFill="1" applyBorder="1"/>
    <xf numFmtId="44" fontId="25" fillId="25" borderId="13" xfId="0" applyNumberFormat="1" applyFont="1" applyFill="1" applyBorder="1"/>
    <xf numFmtId="44" fontId="25" fillId="25" borderId="60" xfId="0" applyNumberFormat="1" applyFont="1" applyFill="1" applyBorder="1"/>
    <xf numFmtId="44" fontId="25" fillId="22" borderId="43" xfId="0" applyNumberFormat="1" applyFont="1" applyFill="1" applyBorder="1"/>
    <xf numFmtId="44" fontId="25" fillId="25" borderId="161" xfId="0" applyNumberFormat="1" applyFont="1" applyFill="1" applyBorder="1"/>
    <xf numFmtId="0" fontId="0" fillId="0" borderId="171" xfId="0" applyBorder="1"/>
    <xf numFmtId="0" fontId="0" fillId="0" borderId="182" xfId="0" applyBorder="1"/>
    <xf numFmtId="4" fontId="0" fillId="0" borderId="182" xfId="0" applyNumberFormat="1" applyBorder="1"/>
    <xf numFmtId="4" fontId="0" fillId="24" borderId="182" xfId="0" applyNumberFormat="1" applyFill="1" applyBorder="1" applyAlignment="1">
      <alignment horizontal="right"/>
    </xf>
    <xf numFmtId="4" fontId="0" fillId="21" borderId="182" xfId="0" applyNumberFormat="1" applyFill="1" applyBorder="1" applyAlignment="1">
      <alignment horizontal="right"/>
    </xf>
    <xf numFmtId="4" fontId="0" fillId="0" borderId="172" xfId="0" applyNumberFormat="1" applyBorder="1"/>
    <xf numFmtId="4" fontId="25" fillId="2" borderId="161" xfId="0" applyNumberFormat="1" applyFont="1" applyFill="1" applyBorder="1" applyAlignment="1">
      <alignment horizontal="center"/>
    </xf>
    <xf numFmtId="9" fontId="53" fillId="25" borderId="7" xfId="47" applyFont="1" applyFill="1" applyBorder="1"/>
    <xf numFmtId="0" fontId="0" fillId="0" borderId="0" xfId="0" applyAlignment="1">
      <alignment horizontal="center" vertical="center"/>
    </xf>
    <xf numFmtId="0" fontId="28" fillId="2" borderId="0" xfId="0" applyFont="1" applyFill="1"/>
    <xf numFmtId="0" fontId="79" fillId="2" borderId="0" xfId="0" applyFont="1" applyFill="1"/>
    <xf numFmtId="4" fontId="27" fillId="2" borderId="171" xfId="0" applyNumberFormat="1" applyFont="1" applyFill="1" applyBorder="1" applyAlignment="1">
      <alignment horizontal="center"/>
    </xf>
    <xf numFmtId="44" fontId="27" fillId="2" borderId="83" xfId="46" applyFont="1" applyFill="1" applyBorder="1" applyAlignment="1">
      <alignment horizontal="center"/>
    </xf>
    <xf numFmtId="2" fontId="27" fillId="2" borderId="83" xfId="0" applyNumberFormat="1" applyFont="1" applyFill="1" applyBorder="1" applyAlignment="1">
      <alignment horizontal="center"/>
    </xf>
    <xf numFmtId="10" fontId="27" fillId="2" borderId="83" xfId="0" applyNumberFormat="1" applyFont="1" applyFill="1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184" xfId="0" applyBorder="1" applyAlignment="1">
      <alignment horizontal="center"/>
    </xf>
    <xf numFmtId="8" fontId="60" fillId="4" borderId="0" xfId="46" applyNumberFormat="1" applyFont="1" applyFill="1" applyAlignment="1">
      <alignment horizontal="right"/>
    </xf>
    <xf numFmtId="166" fontId="28" fillId="4" borderId="0" xfId="0" applyNumberFormat="1" applyFont="1" applyFill="1"/>
    <xf numFmtId="0" fontId="4" fillId="22" borderId="187" xfId="0" applyFont="1" applyFill="1" applyBorder="1"/>
    <xf numFmtId="44" fontId="25" fillId="22" borderId="188" xfId="0" applyNumberFormat="1" applyFont="1" applyFill="1" applyBorder="1"/>
    <xf numFmtId="44" fontId="25" fillId="22" borderId="189" xfId="0" applyNumberFormat="1" applyFont="1" applyFill="1" applyBorder="1"/>
    <xf numFmtId="0" fontId="4" fillId="25" borderId="190" xfId="0" applyFont="1" applyFill="1" applyBorder="1"/>
    <xf numFmtId="44" fontId="25" fillId="25" borderId="191" xfId="0" applyNumberFormat="1" applyFont="1" applyFill="1" applyBorder="1"/>
    <xf numFmtId="44" fontId="25" fillId="25" borderId="192" xfId="0" applyNumberFormat="1" applyFont="1" applyFill="1" applyBorder="1"/>
    <xf numFmtId="4" fontId="49" fillId="16" borderId="7" xfId="0" applyNumberFormat="1" applyFont="1" applyFill="1" applyBorder="1"/>
    <xf numFmtId="0" fontId="80" fillId="0" borderId="75" xfId="0" applyFont="1" applyBorder="1"/>
    <xf numFmtId="4" fontId="0" fillId="0" borderId="83" xfId="0" applyNumberFormat="1" applyBorder="1"/>
    <xf numFmtId="4" fontId="0" fillId="0" borderId="148" xfId="0" applyNumberFormat="1" applyBorder="1"/>
    <xf numFmtId="4" fontId="0" fillId="24" borderId="148" xfId="0" applyNumberFormat="1" applyFill="1" applyBorder="1" applyAlignment="1">
      <alignment horizontal="right"/>
    </xf>
    <xf numFmtId="4" fontId="0" fillId="21" borderId="148" xfId="0" applyNumberFormat="1" applyFill="1" applyBorder="1" applyAlignment="1">
      <alignment horizontal="right"/>
    </xf>
    <xf numFmtId="4" fontId="0" fillId="0" borderId="84" xfId="0" applyNumberFormat="1" applyBorder="1"/>
    <xf numFmtId="0" fontId="80" fillId="0" borderId="83" xfId="0" applyFont="1" applyBorder="1"/>
    <xf numFmtId="0" fontId="0" fillId="0" borderId="84" xfId="0" applyBorder="1"/>
    <xf numFmtId="44" fontId="24" fillId="0" borderId="39" xfId="46" applyFont="1" applyBorder="1" applyAlignment="1">
      <alignment horizontal="center" vertical="center"/>
    </xf>
    <xf numFmtId="0" fontId="27" fillId="16" borderId="7" xfId="0" applyFont="1" applyFill="1" applyBorder="1" applyAlignment="1">
      <alignment horizontal="center"/>
    </xf>
    <xf numFmtId="0" fontId="27" fillId="6" borderId="16" xfId="0" applyFont="1" applyFill="1" applyBorder="1" applyAlignment="1">
      <alignment horizontal="center"/>
    </xf>
    <xf numFmtId="0" fontId="27" fillId="6" borderId="18" xfId="0" applyFont="1" applyFill="1" applyBorder="1" applyAlignment="1">
      <alignment horizontal="center"/>
    </xf>
    <xf numFmtId="0" fontId="0" fillId="23" borderId="51" xfId="0" applyFill="1" applyBorder="1"/>
    <xf numFmtId="0" fontId="4" fillId="14" borderId="13" xfId="0" applyFont="1" applyFill="1" applyBorder="1" applyAlignment="1">
      <alignment horizontal="center"/>
    </xf>
    <xf numFmtId="3" fontId="35" fillId="16" borderId="53" xfId="0" applyNumberFormat="1" applyFont="1" applyFill="1" applyBorder="1" applyAlignment="1">
      <alignment horizontal="center" vertical="center" wrapText="1"/>
    </xf>
    <xf numFmtId="0" fontId="27" fillId="16" borderId="193" xfId="0" applyFont="1" applyFill="1" applyBorder="1" applyAlignment="1">
      <alignment horizontal="center"/>
    </xf>
    <xf numFmtId="0" fontId="27" fillId="6" borderId="167" xfId="0" applyFont="1" applyFill="1" applyBorder="1" applyAlignment="1">
      <alignment horizontal="center"/>
    </xf>
    <xf numFmtId="0" fontId="27" fillId="6" borderId="126" xfId="0" applyFont="1" applyFill="1" applyBorder="1" applyAlignment="1">
      <alignment horizontal="center"/>
    </xf>
    <xf numFmtId="4" fontId="27" fillId="0" borderId="0" xfId="0" applyNumberFormat="1" applyFont="1"/>
    <xf numFmtId="4" fontId="26" fillId="0" borderId="44" xfId="0" applyNumberFormat="1" applyFont="1" applyBorder="1" applyAlignment="1">
      <alignment horizontal="center"/>
    </xf>
    <xf numFmtId="3" fontId="26" fillId="0" borderId="0" xfId="0" applyNumberFormat="1" applyFont="1"/>
    <xf numFmtId="0" fontId="49" fillId="0" borderId="0" xfId="0" applyFont="1" applyAlignment="1">
      <alignment horizontal="left"/>
    </xf>
    <xf numFmtId="0" fontId="80" fillId="0" borderId="0" xfId="0" applyFont="1"/>
    <xf numFmtId="44" fontId="3" fillId="4" borderId="28" xfId="46" applyFont="1" applyFill="1" applyBorder="1" applyAlignment="1">
      <alignment horizontal="right" wrapText="1"/>
    </xf>
    <xf numFmtId="44" fontId="3" fillId="4" borderId="5" xfId="46" applyFont="1" applyFill="1" applyBorder="1" applyAlignment="1">
      <alignment horizontal="right" wrapText="1"/>
    </xf>
    <xf numFmtId="44" fontId="3" fillId="4" borderId="58" xfId="46" applyFont="1" applyFill="1" applyBorder="1" applyAlignment="1">
      <alignment horizontal="right" wrapText="1"/>
    </xf>
    <xf numFmtId="0" fontId="49" fillId="0" borderId="0" xfId="0" applyFont="1" applyAlignment="1">
      <alignment horizontal="center"/>
    </xf>
    <xf numFmtId="0" fontId="28" fillId="21" borderId="7" xfId="0" applyFont="1" applyFill="1" applyBorder="1"/>
    <xf numFmtId="0" fontId="28" fillId="23" borderId="7" xfId="0" applyFont="1" applyFill="1" applyBorder="1"/>
    <xf numFmtId="0" fontId="28" fillId="2" borderId="15" xfId="0" applyFont="1" applyFill="1" applyBorder="1"/>
    <xf numFmtId="44" fontId="28" fillId="2" borderId="7" xfId="46" applyFont="1" applyFill="1" applyBorder="1"/>
    <xf numFmtId="44" fontId="28" fillId="23" borderId="7" xfId="46" applyFont="1" applyFill="1" applyBorder="1"/>
    <xf numFmtId="0" fontId="28" fillId="21" borderId="7" xfId="0" applyFont="1" applyFill="1" applyBorder="1" applyAlignment="1">
      <alignment horizontal="center"/>
    </xf>
    <xf numFmtId="44" fontId="28" fillId="21" borderId="7" xfId="46" applyFont="1" applyFill="1" applyBorder="1"/>
    <xf numFmtId="0" fontId="28" fillId="22" borderId="15" xfId="0" applyFont="1" applyFill="1" applyBorder="1"/>
    <xf numFmtId="0" fontId="28" fillId="22" borderId="14" xfId="0" applyFont="1" applyFill="1" applyBorder="1" applyAlignment="1">
      <alignment horizontal="center"/>
    </xf>
    <xf numFmtId="0" fontId="28" fillId="16" borderId="7" xfId="0" applyFont="1" applyFill="1" applyBorder="1" applyAlignment="1">
      <alignment horizontal="center"/>
    </xf>
    <xf numFmtId="0" fontId="28" fillId="6" borderId="60" xfId="0" applyFont="1" applyFill="1" applyBorder="1" applyAlignment="1">
      <alignment horizontal="center"/>
    </xf>
    <xf numFmtId="0" fontId="28" fillId="22" borderId="7" xfId="0" applyFont="1" applyFill="1" applyBorder="1" applyAlignment="1">
      <alignment horizontal="left"/>
    </xf>
    <xf numFmtId="44" fontId="28" fillId="22" borderId="7" xfId="46" applyFont="1" applyFill="1" applyBorder="1" applyAlignment="1">
      <alignment horizontal="center"/>
    </xf>
    <xf numFmtId="44" fontId="80" fillId="6" borderId="63" xfId="46" applyFont="1" applyFill="1" applyBorder="1"/>
    <xf numFmtId="44" fontId="49" fillId="0" borderId="0" xfId="46" applyFont="1"/>
    <xf numFmtId="44" fontId="80" fillId="6" borderId="38" xfId="46" applyFont="1" applyFill="1" applyBorder="1"/>
    <xf numFmtId="0" fontId="28" fillId="21" borderId="14" xfId="0" applyFont="1" applyFill="1" applyBorder="1" applyAlignment="1">
      <alignment horizontal="center"/>
    </xf>
    <xf numFmtId="0" fontId="28" fillId="23" borderId="14" xfId="0" applyFont="1" applyFill="1" applyBorder="1" applyAlignment="1">
      <alignment horizontal="center"/>
    </xf>
    <xf numFmtId="0" fontId="28" fillId="22" borderId="7" xfId="0" applyFont="1" applyFill="1" applyBorder="1"/>
    <xf numFmtId="166" fontId="28" fillId="3" borderId="13" xfId="0" applyNumberFormat="1" applyFont="1" applyFill="1" applyBorder="1" applyAlignment="1">
      <alignment wrapText="1"/>
    </xf>
    <xf numFmtId="166" fontId="28" fillId="3" borderId="7" xfId="0" applyNumberFormat="1" applyFont="1" applyFill="1" applyBorder="1" applyAlignment="1">
      <alignment horizontal="center"/>
    </xf>
    <xf numFmtId="4" fontId="28" fillId="16" borderId="7" xfId="0" applyNumberFormat="1" applyFont="1" applyFill="1" applyBorder="1"/>
    <xf numFmtId="4" fontId="28" fillId="7" borderId="16" xfId="0" applyNumberFormat="1" applyFont="1" applyFill="1" applyBorder="1"/>
    <xf numFmtId="4" fontId="28" fillId="7" borderId="17" xfId="0" applyNumberFormat="1" applyFont="1" applyFill="1" applyBorder="1"/>
    <xf numFmtId="4" fontId="28" fillId="7" borderId="18" xfId="0" applyNumberFormat="1" applyFont="1" applyFill="1" applyBorder="1"/>
    <xf numFmtId="166" fontId="28" fillId="14" borderId="13" xfId="0" applyNumberFormat="1" applyFont="1" applyFill="1" applyBorder="1" applyAlignment="1">
      <alignment horizontal="center"/>
    </xf>
    <xf numFmtId="166" fontId="28" fillId="14" borderId="7" xfId="0" applyNumberFormat="1" applyFont="1" applyFill="1" applyBorder="1" applyAlignment="1">
      <alignment horizontal="center"/>
    </xf>
    <xf numFmtId="0" fontId="28" fillId="6" borderId="19" xfId="0" applyFont="1" applyFill="1" applyBorder="1" applyAlignment="1">
      <alignment horizontal="center"/>
    </xf>
    <xf numFmtId="0" fontId="28" fillId="6" borderId="20" xfId="0" applyFont="1" applyFill="1" applyBorder="1" applyAlignment="1">
      <alignment horizontal="center"/>
    </xf>
    <xf numFmtId="166" fontId="56" fillId="32" borderId="194" xfId="0" applyNumberFormat="1" applyFont="1" applyFill="1" applyBorder="1" applyAlignment="1">
      <alignment vertical="center"/>
    </xf>
    <xf numFmtId="44" fontId="56" fillId="32" borderId="195" xfId="46" applyFont="1" applyFill="1" applyBorder="1" applyAlignment="1">
      <alignment vertical="center"/>
    </xf>
    <xf numFmtId="10" fontId="56" fillId="32" borderId="196" xfId="47" applyNumberFormat="1" applyFont="1" applyFill="1" applyBorder="1" applyAlignment="1">
      <alignment horizontal="center" vertical="center"/>
    </xf>
    <xf numFmtId="166" fontId="31" fillId="0" borderId="0" xfId="0" applyNumberFormat="1" applyFont="1"/>
    <xf numFmtId="166" fontId="49" fillId="30" borderId="117" xfId="0" applyNumberFormat="1" applyFont="1" applyFill="1" applyBorder="1" applyAlignment="1">
      <alignment horizontal="left" vertical="center"/>
    </xf>
    <xf numFmtId="44" fontId="49" fillId="30" borderId="117" xfId="46" applyFont="1" applyFill="1" applyBorder="1" applyAlignment="1">
      <alignment horizontal="left" vertical="center"/>
    </xf>
    <xf numFmtId="10" fontId="49" fillId="30" borderId="120" xfId="47" applyNumberFormat="1" applyFont="1" applyFill="1" applyBorder="1" applyAlignment="1">
      <alignment horizontal="center" vertical="center"/>
    </xf>
    <xf numFmtId="166" fontId="49" fillId="30" borderId="75" xfId="0" applyNumberFormat="1" applyFont="1" applyFill="1" applyBorder="1" applyAlignment="1">
      <alignment horizontal="left" vertical="center"/>
    </xf>
    <xf numFmtId="44" fontId="49" fillId="30" borderId="75" xfId="46" applyFont="1" applyFill="1" applyBorder="1" applyAlignment="1">
      <alignment horizontal="left" vertical="center"/>
    </xf>
    <xf numFmtId="10" fontId="49" fillId="30" borderId="84" xfId="47" applyNumberFormat="1" applyFont="1" applyFill="1" applyBorder="1" applyAlignment="1">
      <alignment horizontal="center" vertical="center"/>
    </xf>
    <xf numFmtId="0" fontId="85" fillId="0" borderId="0" xfId="0" applyFont="1"/>
    <xf numFmtId="166" fontId="0" fillId="0" borderId="38" xfId="0" applyNumberFormat="1" applyBorder="1" applyAlignment="1">
      <alignment horizontal="right" vertical="center"/>
    </xf>
    <xf numFmtId="166" fontId="0" fillId="0" borderId="44" xfId="0" applyNumberFormat="1" applyBorder="1" applyAlignment="1">
      <alignment horizontal="right" vertical="center"/>
    </xf>
    <xf numFmtId="166" fontId="4" fillId="4" borderId="44" xfId="0" applyNumberFormat="1" applyFont="1" applyFill="1" applyBorder="1" applyAlignment="1">
      <alignment horizontal="right" vertical="center"/>
    </xf>
    <xf numFmtId="166" fontId="0" fillId="0" borderId="44" xfId="0" applyNumberFormat="1" applyBorder="1" applyAlignment="1">
      <alignment horizontal="right" vertical="center" wrapText="1"/>
    </xf>
    <xf numFmtId="3" fontId="0" fillId="0" borderId="44" xfId="0" applyNumberFormat="1" applyBorder="1" applyAlignment="1">
      <alignment horizontal="right" vertical="center"/>
    </xf>
    <xf numFmtId="4" fontId="4" fillId="23" borderId="38" xfId="0" applyNumberFormat="1" applyFont="1" applyFill="1" applyBorder="1" applyAlignment="1">
      <alignment horizontal="right" vertical="center"/>
    </xf>
    <xf numFmtId="4" fontId="0" fillId="0" borderId="53" xfId="0" applyNumberFormat="1" applyBorder="1" applyAlignment="1">
      <alignment horizontal="right" vertical="center"/>
    </xf>
    <xf numFmtId="166" fontId="86" fillId="23" borderId="53" xfId="0" applyNumberFormat="1" applyFont="1" applyFill="1" applyBorder="1" applyAlignment="1">
      <alignment horizontal="center" vertical="center"/>
    </xf>
    <xf numFmtId="3" fontId="87" fillId="23" borderId="39" xfId="0" applyNumberFormat="1" applyFont="1" applyFill="1" applyBorder="1" applyAlignment="1">
      <alignment horizontal="center" vertical="center"/>
    </xf>
    <xf numFmtId="166" fontId="4" fillId="25" borderId="13" xfId="0" applyNumberFormat="1" applyFont="1" applyFill="1" applyBorder="1" applyAlignment="1">
      <alignment vertical="center" wrapText="1"/>
    </xf>
    <xf numFmtId="3" fontId="49" fillId="4" borderId="52" xfId="0" applyNumberFormat="1" applyFont="1" applyFill="1" applyBorder="1"/>
    <xf numFmtId="3" fontId="80" fillId="0" borderId="0" xfId="0" applyNumberFormat="1" applyFont="1"/>
    <xf numFmtId="44" fontId="4" fillId="18" borderId="60" xfId="46" applyFont="1" applyFill="1" applyBorder="1"/>
    <xf numFmtId="44" fontId="4" fillId="18" borderId="7" xfId="46" applyFont="1" applyFill="1" applyBorder="1" applyAlignment="1"/>
    <xf numFmtId="3" fontId="0" fillId="16" borderId="24" xfId="0" applyNumberFormat="1" applyFill="1" applyBorder="1" applyAlignment="1">
      <alignment horizontal="center"/>
    </xf>
    <xf numFmtId="3" fontId="0" fillId="0" borderId="71" xfId="0" applyNumberFormat="1" applyBorder="1" applyAlignment="1">
      <alignment wrapText="1"/>
    </xf>
    <xf numFmtId="4" fontId="0" fillId="0" borderId="13" xfId="0" applyNumberFormat="1" applyBorder="1" applyAlignment="1">
      <alignment horizontal="center"/>
    </xf>
    <xf numFmtId="4" fontId="0" fillId="4" borderId="15" xfId="0" applyNumberFormat="1" applyFill="1" applyBorder="1"/>
    <xf numFmtId="4" fontId="0" fillId="4" borderId="17" xfId="0" applyNumberFormat="1" applyFill="1" applyBorder="1"/>
    <xf numFmtId="4" fontId="0" fillId="4" borderId="18" xfId="0" applyNumberFormat="1" applyFill="1" applyBorder="1"/>
    <xf numFmtId="4" fontId="0" fillId="0" borderId="15" xfId="0" applyNumberFormat="1" applyBorder="1"/>
    <xf numFmtId="4" fontId="0" fillId="0" borderId="17" xfId="0" applyNumberFormat="1" applyBorder="1"/>
    <xf numFmtId="4" fontId="0" fillId="0" borderId="18" xfId="0" applyNumberFormat="1" applyBorder="1"/>
    <xf numFmtId="4" fontId="4" fillId="4" borderId="15" xfId="0" applyNumberFormat="1" applyFont="1" applyFill="1" applyBorder="1"/>
    <xf numFmtId="4" fontId="4" fillId="4" borderId="17" xfId="0" applyNumberFormat="1" applyFont="1" applyFill="1" applyBorder="1"/>
    <xf numFmtId="4" fontId="4" fillId="4" borderId="18" xfId="0" applyNumberFormat="1" applyFont="1" applyFill="1" applyBorder="1"/>
    <xf numFmtId="4" fontId="25" fillId="4" borderId="15" xfId="0" applyNumberFormat="1" applyFont="1" applyFill="1" applyBorder="1"/>
    <xf numFmtId="4" fontId="25" fillId="4" borderId="17" xfId="0" applyNumberFormat="1" applyFont="1" applyFill="1" applyBorder="1"/>
    <xf numFmtId="4" fontId="25" fillId="4" borderId="18" xfId="0" applyNumberFormat="1" applyFont="1" applyFill="1" applyBorder="1"/>
    <xf numFmtId="3" fontId="0" fillId="4" borderId="44" xfId="0" applyNumberFormat="1" applyFill="1" applyBorder="1" applyAlignment="1">
      <alignment horizontal="right" vertical="center"/>
    </xf>
    <xf numFmtId="176" fontId="0" fillId="0" borderId="45" xfId="0" applyNumberFormat="1" applyBorder="1" applyAlignment="1">
      <alignment horizontal="right" vertical="center"/>
    </xf>
    <xf numFmtId="166" fontId="25" fillId="2" borderId="13" xfId="0" applyNumberFormat="1" applyFont="1" applyFill="1" applyBorder="1"/>
    <xf numFmtId="3" fontId="55" fillId="24" borderId="197" xfId="0" applyNumberFormat="1" applyFont="1" applyFill="1" applyBorder="1"/>
    <xf numFmtId="3" fontId="55" fillId="23" borderId="197" xfId="0" applyNumberFormat="1" applyFont="1" applyFill="1" applyBorder="1"/>
    <xf numFmtId="3" fontId="49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6" fontId="49" fillId="0" borderId="48" xfId="0" applyNumberFormat="1" applyFont="1" applyBorder="1"/>
    <xf numFmtId="4" fontId="4" fillId="4" borderId="75" xfId="0" applyNumberFormat="1" applyFont="1" applyFill="1" applyBorder="1"/>
    <xf numFmtId="166" fontId="4" fillId="3" borderId="43" xfId="0" applyNumberFormat="1" applyFont="1" applyFill="1" applyBorder="1" applyAlignment="1">
      <alignment wrapText="1"/>
    </xf>
    <xf numFmtId="166" fontId="0" fillId="4" borderId="161" xfId="0" applyNumberFormat="1" applyFill="1" applyBorder="1" applyAlignment="1">
      <alignment wrapText="1"/>
    </xf>
    <xf numFmtId="4" fontId="0" fillId="4" borderId="86" xfId="0" applyNumberFormat="1" applyFill="1" applyBorder="1" applyAlignment="1">
      <alignment horizontal="right"/>
    </xf>
    <xf numFmtId="4" fontId="4" fillId="23" borderId="39" xfId="0" applyNumberFormat="1" applyFont="1" applyFill="1" applyBorder="1" applyAlignment="1">
      <alignment horizontal="right" vertical="center"/>
    </xf>
    <xf numFmtId="4" fontId="0" fillId="4" borderId="37" xfId="0" applyNumberFormat="1" applyFill="1" applyBorder="1" applyAlignment="1">
      <alignment horizontal="right"/>
    </xf>
    <xf numFmtId="4" fontId="0" fillId="4" borderId="38" xfId="0" applyNumberFormat="1" applyFill="1" applyBorder="1" applyAlignment="1">
      <alignment horizontal="right"/>
    </xf>
    <xf numFmtId="4" fontId="0" fillId="4" borderId="45" xfId="0" applyNumberFormat="1" applyFill="1" applyBorder="1" applyAlignment="1">
      <alignment horizontal="right"/>
    </xf>
    <xf numFmtId="4" fontId="0" fillId="23" borderId="7" xfId="0" applyNumberFormat="1" applyFill="1" applyBorder="1" applyAlignment="1">
      <alignment horizontal="right" vertical="center"/>
    </xf>
    <xf numFmtId="0" fontId="83" fillId="0" borderId="0" xfId="0" applyFont="1"/>
    <xf numFmtId="4" fontId="27" fillId="25" borderId="40" xfId="47" applyNumberFormat="1" applyFont="1" applyFill="1" applyBorder="1" applyAlignment="1">
      <alignment vertical="center"/>
    </xf>
    <xf numFmtId="4" fontId="27" fillId="25" borderId="72" xfId="47" applyNumberFormat="1" applyFont="1" applyFill="1" applyBorder="1" applyAlignment="1">
      <alignment vertical="center"/>
    </xf>
    <xf numFmtId="3" fontId="40" fillId="6" borderId="200" xfId="0" applyNumberFormat="1" applyFont="1" applyFill="1" applyBorder="1" applyAlignment="1">
      <alignment horizontal="center"/>
    </xf>
    <xf numFmtId="166" fontId="31" fillId="0" borderId="201" xfId="0" applyNumberFormat="1" applyFont="1" applyBorder="1" applyAlignment="1">
      <alignment wrapText="1"/>
    </xf>
    <xf numFmtId="166" fontId="40" fillId="4" borderId="202" xfId="0" applyNumberFormat="1" applyFont="1" applyFill="1" applyBorder="1" applyAlignment="1">
      <alignment horizontal="center"/>
    </xf>
    <xf numFmtId="166" fontId="31" fillId="4" borderId="203" xfId="0" applyNumberFormat="1" applyFont="1" applyFill="1" applyBorder="1" applyAlignment="1">
      <alignment wrapText="1"/>
    </xf>
    <xf numFmtId="3" fontId="31" fillId="7" borderId="204" xfId="0" applyNumberFormat="1" applyFont="1" applyFill="1" applyBorder="1" applyAlignment="1">
      <alignment horizontal="right"/>
    </xf>
    <xf numFmtId="166" fontId="31" fillId="4" borderId="134" xfId="0" applyNumberFormat="1" applyFont="1" applyFill="1" applyBorder="1" applyAlignment="1">
      <alignment wrapText="1"/>
    </xf>
    <xf numFmtId="3" fontId="31" fillId="7" borderId="205" xfId="0" applyNumberFormat="1" applyFont="1" applyFill="1" applyBorder="1" applyAlignment="1">
      <alignment horizontal="right"/>
    </xf>
    <xf numFmtId="3" fontId="31" fillId="7" borderId="205" xfId="0" applyNumberFormat="1" applyFont="1" applyFill="1" applyBorder="1" applyAlignment="1">
      <alignment horizontal="right" vertical="center" wrapText="1"/>
    </xf>
    <xf numFmtId="166" fontId="31" fillId="4" borderId="134" xfId="0" applyNumberFormat="1" applyFont="1" applyFill="1" applyBorder="1" applyAlignment="1">
      <alignment vertical="center" wrapText="1"/>
    </xf>
    <xf numFmtId="3" fontId="32" fillId="7" borderId="205" xfId="0" applyNumberFormat="1" applyFont="1" applyFill="1" applyBorder="1" applyAlignment="1">
      <alignment horizontal="right" vertical="center" wrapText="1"/>
    </xf>
    <xf numFmtId="166" fontId="31" fillId="0" borderId="201" xfId="0" applyNumberFormat="1" applyFont="1" applyBorder="1"/>
    <xf numFmtId="0" fontId="31" fillId="0" borderId="135" xfId="0" applyFont="1" applyBorder="1"/>
    <xf numFmtId="166" fontId="0" fillId="0" borderId="206" xfId="0" applyNumberFormat="1" applyBorder="1"/>
    <xf numFmtId="3" fontId="31" fillId="7" borderId="207" xfId="0" applyNumberFormat="1" applyFont="1" applyFill="1" applyBorder="1" applyAlignment="1">
      <alignment horizontal="right"/>
    </xf>
    <xf numFmtId="0" fontId="0" fillId="2" borderId="0" xfId="0" applyFill="1"/>
    <xf numFmtId="0" fontId="53" fillId="2" borderId="0" xfId="0" applyFont="1" applyFill="1"/>
    <xf numFmtId="0" fontId="4" fillId="0" borderId="0" xfId="0" applyFont="1" applyAlignment="1">
      <alignment horizontal="right"/>
    </xf>
    <xf numFmtId="3" fontId="29" fillId="6" borderId="70" xfId="0" applyNumberFormat="1" applyFont="1" applyFill="1" applyBorder="1" applyAlignment="1">
      <alignment horizontal="center" vertical="center"/>
    </xf>
    <xf numFmtId="3" fontId="29" fillId="6" borderId="61" xfId="0" applyNumberFormat="1" applyFont="1" applyFill="1" applyBorder="1" applyAlignment="1">
      <alignment horizontal="center" vertical="center"/>
    </xf>
    <xf numFmtId="3" fontId="29" fillId="18" borderId="59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vertical="top" wrapText="1"/>
    </xf>
    <xf numFmtId="0" fontId="4" fillId="4" borderId="0" xfId="0" applyFont="1" applyFill="1" applyAlignment="1">
      <alignment horizontal="left" vertical="top" wrapText="1"/>
    </xf>
    <xf numFmtId="44" fontId="49" fillId="0" borderId="0" xfId="46" applyFont="1" applyBorder="1"/>
    <xf numFmtId="0" fontId="28" fillId="16" borderId="0" xfId="0" applyFont="1" applyFill="1"/>
    <xf numFmtId="0" fontId="34" fillId="0" borderId="13" xfId="0" applyFont="1" applyBorder="1"/>
    <xf numFmtId="0" fontId="34" fillId="0" borderId="14" xfId="0" applyFont="1" applyBorder="1"/>
    <xf numFmtId="0" fontId="34" fillId="0" borderId="60" xfId="0" applyFont="1" applyBorder="1"/>
    <xf numFmtId="0" fontId="0" fillId="16" borderId="0" xfId="0" applyFill="1"/>
    <xf numFmtId="166" fontId="0" fillId="16" borderId="0" xfId="0" applyNumberFormat="1" applyFill="1"/>
    <xf numFmtId="166" fontId="0" fillId="4" borderId="52" xfId="0" applyNumberFormat="1" applyFill="1" applyBorder="1" applyAlignment="1">
      <alignment wrapText="1"/>
    </xf>
    <xf numFmtId="166" fontId="0" fillId="4" borderId="44" xfId="0" applyNumberFormat="1" applyFill="1" applyBorder="1" applyAlignment="1">
      <alignment horizontal="center" vertical="center"/>
    </xf>
    <xf numFmtId="4" fontId="0" fillId="7" borderId="24" xfId="0" applyNumberFormat="1" applyFill="1" applyBorder="1" applyAlignment="1">
      <alignment vertical="center"/>
    </xf>
    <xf numFmtId="0" fontId="91" fillId="0" borderId="0" xfId="0" applyFont="1"/>
    <xf numFmtId="3" fontId="0" fillId="0" borderId="0" xfId="0" applyNumberFormat="1" applyAlignment="1">
      <alignment horizontal="left"/>
    </xf>
    <xf numFmtId="3" fontId="24" fillId="0" borderId="0" xfId="0" applyNumberFormat="1" applyFont="1" applyAlignment="1">
      <alignment horizontal="left" vertical="center" wrapText="1"/>
    </xf>
    <xf numFmtId="3" fontId="0" fillId="16" borderId="208" xfId="0" applyNumberFormat="1" applyFill="1" applyBorder="1" applyAlignment="1">
      <alignment horizontal="center"/>
    </xf>
    <xf numFmtId="3" fontId="4" fillId="2" borderId="209" xfId="0" applyNumberFormat="1" applyFont="1" applyFill="1" applyBorder="1"/>
    <xf numFmtId="3" fontId="0" fillId="0" borderId="215" xfId="0" applyNumberFormat="1" applyBorder="1"/>
    <xf numFmtId="4" fontId="25" fillId="16" borderId="0" xfId="0" applyNumberFormat="1" applyFont="1" applyFill="1" applyAlignment="1">
      <alignment horizontal="center"/>
    </xf>
    <xf numFmtId="4" fontId="25" fillId="16" borderId="208" xfId="0" applyNumberFormat="1" applyFont="1" applyFill="1" applyBorder="1" applyAlignment="1">
      <alignment horizontal="center"/>
    </xf>
    <xf numFmtId="4" fontId="0" fillId="16" borderId="0" xfId="0" applyNumberFormat="1" applyFill="1"/>
    <xf numFmtId="4" fontId="0" fillId="16" borderId="208" xfId="0" applyNumberFormat="1" applyFill="1" applyBorder="1"/>
    <xf numFmtId="3" fontId="24" fillId="0" borderId="215" xfId="0" applyNumberFormat="1" applyFont="1" applyBorder="1"/>
    <xf numFmtId="44" fontId="0" fillId="16" borderId="221" xfId="46" applyFont="1" applyFill="1" applyBorder="1" applyAlignment="1"/>
    <xf numFmtId="3" fontId="0" fillId="0" borderId="215" xfId="0" applyNumberFormat="1" applyBorder="1" applyAlignment="1">
      <alignment horizontal="left"/>
    </xf>
    <xf numFmtId="3" fontId="24" fillId="0" borderId="216" xfId="0" applyNumberFormat="1" applyFont="1" applyBorder="1"/>
    <xf numFmtId="3" fontId="24" fillId="0" borderId="220" xfId="0" applyNumberFormat="1" applyFont="1" applyBorder="1"/>
    <xf numFmtId="176" fontId="0" fillId="0" borderId="215" xfId="0" applyNumberFormat="1" applyBorder="1"/>
    <xf numFmtId="3" fontId="0" fillId="0" borderId="158" xfId="0" applyNumberFormat="1" applyBorder="1"/>
    <xf numFmtId="3" fontId="0" fillId="0" borderId="159" xfId="0" applyNumberFormat="1" applyBorder="1"/>
    <xf numFmtId="0" fontId="0" fillId="0" borderId="223" xfId="0" applyBorder="1"/>
    <xf numFmtId="4" fontId="0" fillId="16" borderId="159" xfId="0" applyNumberFormat="1" applyFill="1" applyBorder="1"/>
    <xf numFmtId="4" fontId="0" fillId="16" borderId="160" xfId="0" applyNumberFormat="1" applyFill="1" applyBorder="1"/>
    <xf numFmtId="8" fontId="0" fillId="0" borderId="0" xfId="0" applyNumberFormat="1"/>
    <xf numFmtId="0" fontId="0" fillId="23" borderId="49" xfId="0" applyFill="1" applyBorder="1" applyAlignment="1">
      <alignment horizontal="center"/>
    </xf>
    <xf numFmtId="4" fontId="0" fillId="23" borderId="27" xfId="0" applyNumberFormat="1" applyFill="1" applyBorder="1"/>
    <xf numFmtId="49" fontId="35" fillId="16" borderId="43" xfId="0" applyNumberFormat="1" applyFont="1" applyFill="1" applyBorder="1" applyAlignment="1">
      <alignment horizontal="center"/>
    </xf>
    <xf numFmtId="4" fontId="0" fillId="23" borderId="21" xfId="0" applyNumberFormat="1" applyFill="1" applyBorder="1"/>
    <xf numFmtId="4" fontId="0" fillId="23" borderId="75" xfId="0" applyNumberFormat="1" applyFill="1" applyBorder="1"/>
    <xf numFmtId="4" fontId="0" fillId="6" borderId="25" xfId="0" applyNumberFormat="1" applyFill="1" applyBorder="1" applyAlignment="1">
      <alignment vertical="center"/>
    </xf>
    <xf numFmtId="3" fontId="0" fillId="0" borderId="53" xfId="0" applyNumberFormat="1" applyBorder="1" applyAlignment="1">
      <alignment wrapText="1"/>
    </xf>
    <xf numFmtId="166" fontId="4" fillId="3" borderId="53" xfId="0" applyNumberFormat="1" applyFont="1" applyFill="1" applyBorder="1" applyAlignment="1">
      <alignment horizontal="center" vertical="center"/>
    </xf>
    <xf numFmtId="166" fontId="4" fillId="23" borderId="53" xfId="0" applyNumberFormat="1" applyFont="1" applyFill="1" applyBorder="1" applyAlignment="1">
      <alignment horizontal="center" vertical="center"/>
    </xf>
    <xf numFmtId="4" fontId="4" fillId="16" borderId="53" xfId="0" applyNumberFormat="1" applyFont="1" applyFill="1" applyBorder="1" applyAlignment="1">
      <alignment vertical="center"/>
    </xf>
    <xf numFmtId="4" fontId="4" fillId="6" borderId="58" xfId="0" applyNumberFormat="1" applyFont="1" applyFill="1" applyBorder="1" applyAlignment="1">
      <alignment vertical="center"/>
    </xf>
    <xf numFmtId="4" fontId="4" fillId="6" borderId="61" xfId="0" applyNumberFormat="1" applyFont="1" applyFill="1" applyBorder="1" applyAlignment="1">
      <alignment vertical="center"/>
    </xf>
    <xf numFmtId="3" fontId="27" fillId="25" borderId="7" xfId="0" applyNumberFormat="1" applyFont="1" applyFill="1" applyBorder="1"/>
    <xf numFmtId="0" fontId="4" fillId="2" borderId="7" xfId="0" applyFont="1" applyFill="1" applyBorder="1" applyAlignment="1">
      <alignment horizontal="center" vertical="center"/>
    </xf>
    <xf numFmtId="3" fontId="0" fillId="0" borderId="224" xfId="0" applyNumberFormat="1" applyBorder="1"/>
    <xf numFmtId="3" fontId="0" fillId="0" borderId="225" xfId="0" applyNumberFormat="1" applyBorder="1" applyAlignment="1">
      <alignment wrapText="1"/>
    </xf>
    <xf numFmtId="166" fontId="4" fillId="3" borderId="226" xfId="0" applyNumberFormat="1" applyFont="1" applyFill="1" applyBorder="1" applyAlignment="1">
      <alignment horizontal="center" vertical="center"/>
    </xf>
    <xf numFmtId="4" fontId="4" fillId="23" borderId="226" xfId="0" applyNumberFormat="1" applyFont="1" applyFill="1" applyBorder="1" applyAlignment="1">
      <alignment horizontal="center" vertical="center"/>
    </xf>
    <xf numFmtId="4" fontId="4" fillId="16" borderId="226" xfId="0" applyNumberFormat="1" applyFont="1" applyFill="1" applyBorder="1" applyAlignment="1">
      <alignment vertical="center"/>
    </xf>
    <xf numFmtId="4" fontId="4" fillId="6" borderId="227" xfId="0" applyNumberFormat="1" applyFont="1" applyFill="1" applyBorder="1" applyAlignment="1">
      <alignment vertical="center"/>
    </xf>
    <xf numFmtId="3" fontId="27" fillId="25" borderId="197" xfId="0" applyNumberFormat="1" applyFont="1" applyFill="1" applyBorder="1"/>
    <xf numFmtId="0" fontId="4" fillId="2" borderId="228" xfId="0" applyFont="1" applyFill="1" applyBorder="1" applyAlignment="1">
      <alignment horizontal="center" vertical="center"/>
    </xf>
    <xf numFmtId="0" fontId="4" fillId="6" borderId="65" xfId="0" applyFont="1" applyFill="1" applyBorder="1" applyAlignment="1">
      <alignment horizontal="center"/>
    </xf>
    <xf numFmtId="4" fontId="4" fillId="6" borderId="229" xfId="0" applyNumberFormat="1" applyFont="1" applyFill="1" applyBorder="1" applyAlignment="1">
      <alignment vertical="center"/>
    </xf>
    <xf numFmtId="0" fontId="4" fillId="23" borderId="230" xfId="0" applyFont="1" applyFill="1" applyBorder="1" applyAlignment="1">
      <alignment horizontal="center" vertical="center"/>
    </xf>
    <xf numFmtId="0" fontId="4" fillId="16" borderId="230" xfId="0" applyFont="1" applyFill="1" applyBorder="1" applyAlignment="1">
      <alignment horizontal="center"/>
    </xf>
    <xf numFmtId="0" fontId="4" fillId="6" borderId="231" xfId="0" applyFont="1" applyFill="1" applyBorder="1" applyAlignment="1">
      <alignment horizontal="center"/>
    </xf>
    <xf numFmtId="0" fontId="4" fillId="6" borderId="232" xfId="0" applyFont="1" applyFill="1" applyBorder="1" applyAlignment="1">
      <alignment horizontal="center"/>
    </xf>
    <xf numFmtId="4" fontId="0" fillId="6" borderId="233" xfId="0" applyNumberFormat="1" applyFill="1" applyBorder="1" applyAlignment="1">
      <alignment vertical="center"/>
    </xf>
    <xf numFmtId="166" fontId="4" fillId="23" borderId="226" xfId="0" applyNumberFormat="1" applyFont="1" applyFill="1" applyBorder="1" applyAlignment="1">
      <alignment horizontal="center" vertical="center"/>
    </xf>
    <xf numFmtId="4" fontId="4" fillId="6" borderId="234" xfId="0" applyNumberFormat="1" applyFont="1" applyFill="1" applyBorder="1" applyAlignment="1">
      <alignment vertical="center"/>
    </xf>
    <xf numFmtId="166" fontId="59" fillId="25" borderId="0" xfId="0" applyNumberFormat="1" applyFont="1" applyFill="1" applyAlignment="1">
      <alignment horizontal="left"/>
    </xf>
    <xf numFmtId="4" fontId="0" fillId="6" borderId="57" xfId="0" applyNumberFormat="1" applyFill="1" applyBorder="1"/>
    <xf numFmtId="4" fontId="4" fillId="6" borderId="161" xfId="0" applyNumberFormat="1" applyFont="1" applyFill="1" applyBorder="1"/>
    <xf numFmtId="0" fontId="0" fillId="6" borderId="62" xfId="0" applyFill="1" applyBorder="1" applyAlignment="1">
      <alignment horizontal="center"/>
    </xf>
    <xf numFmtId="0" fontId="0" fillId="6" borderId="161" xfId="0" applyFill="1" applyBorder="1"/>
    <xf numFmtId="0" fontId="0" fillId="6" borderId="68" xfId="0" applyFill="1" applyBorder="1" applyAlignment="1">
      <alignment horizontal="center"/>
    </xf>
    <xf numFmtId="4" fontId="0" fillId="6" borderId="10" xfId="0" applyNumberFormat="1" applyFill="1" applyBorder="1"/>
    <xf numFmtId="0" fontId="53" fillId="25" borderId="0" xfId="0" applyFont="1" applyFill="1"/>
    <xf numFmtId="0" fontId="4" fillId="16" borderId="0" xfId="0" applyFont="1" applyFill="1" applyAlignment="1">
      <alignment horizontal="left" vertical="top" wrapText="1"/>
    </xf>
    <xf numFmtId="0" fontId="4" fillId="3" borderId="14" xfId="0" applyFont="1" applyFill="1" applyBorder="1" applyAlignment="1">
      <alignment horizontal="center"/>
    </xf>
    <xf numFmtId="0" fontId="4" fillId="3" borderId="60" xfId="0" applyFont="1" applyFill="1" applyBorder="1" applyAlignment="1">
      <alignment horizontal="center"/>
    </xf>
    <xf numFmtId="0" fontId="49" fillId="0" borderId="0" xfId="0" applyFont="1" applyAlignment="1">
      <alignment horizontal="right"/>
    </xf>
    <xf numFmtId="0" fontId="28" fillId="2" borderId="13" xfId="0" applyFont="1" applyFill="1" applyBorder="1" applyAlignment="1">
      <alignment horizontal="center"/>
    </xf>
    <xf numFmtId="0" fontId="28" fillId="2" borderId="14" xfId="0" applyFont="1" applyFill="1" applyBorder="1" applyAlignment="1">
      <alignment horizontal="center"/>
    </xf>
    <xf numFmtId="0" fontId="28" fillId="2" borderId="6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171" fontId="49" fillId="0" borderId="69" xfId="0" applyNumberFormat="1" applyFont="1" applyBorder="1" applyAlignment="1">
      <alignment horizontal="left"/>
    </xf>
    <xf numFmtId="0" fontId="4" fillId="0" borderId="6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9" fillId="0" borderId="0" xfId="0" applyFont="1" applyAlignment="1">
      <alignment horizontal="right" vertical="center"/>
    </xf>
    <xf numFmtId="0" fontId="34" fillId="3" borderId="13" xfId="0" applyFont="1" applyFill="1" applyBorder="1" applyAlignment="1">
      <alignment horizontal="center"/>
    </xf>
    <xf numFmtId="0" fontId="34" fillId="3" borderId="14" xfId="0" applyFont="1" applyFill="1" applyBorder="1" applyAlignment="1">
      <alignment horizontal="center"/>
    </xf>
    <xf numFmtId="0" fontId="34" fillId="3" borderId="60" xfId="0" applyFont="1" applyFill="1" applyBorder="1" applyAlignment="1">
      <alignment horizontal="center"/>
    </xf>
    <xf numFmtId="171" fontId="49" fillId="0" borderId="69" xfId="0" applyNumberFormat="1" applyFont="1" applyBorder="1" applyAlignment="1">
      <alignment vertical="top"/>
    </xf>
    <xf numFmtId="166" fontId="4" fillId="3" borderId="15" xfId="0" applyNumberFormat="1" applyFont="1" applyFill="1" applyBorder="1" applyAlignment="1">
      <alignment horizontal="center" vertical="center"/>
    </xf>
    <xf numFmtId="166" fontId="4" fillId="3" borderId="18" xfId="0" applyNumberFormat="1" applyFont="1" applyFill="1" applyBorder="1" applyAlignment="1">
      <alignment horizontal="center" vertical="center"/>
    </xf>
    <xf numFmtId="0" fontId="43" fillId="3" borderId="111" xfId="0" applyFont="1" applyFill="1" applyBorder="1" applyAlignment="1">
      <alignment horizontal="center" vertical="center" wrapText="1"/>
    </xf>
    <xf numFmtId="0" fontId="42" fillId="3" borderId="112" xfId="0" applyFont="1" applyFill="1" applyBorder="1" applyAlignment="1">
      <alignment horizontal="center" vertical="center" wrapText="1"/>
    </xf>
    <xf numFmtId="0" fontId="42" fillId="3" borderId="113" xfId="0" applyFont="1" applyFill="1" applyBorder="1" applyAlignment="1">
      <alignment horizontal="center" vertical="center" wrapText="1"/>
    </xf>
    <xf numFmtId="0" fontId="42" fillId="3" borderId="114" xfId="0" applyFont="1" applyFill="1" applyBorder="1" applyAlignment="1">
      <alignment horizontal="center" vertical="center" wrapText="1"/>
    </xf>
    <xf numFmtId="181" fontId="84" fillId="0" borderId="96" xfId="0" applyNumberFormat="1" applyFont="1" applyBorder="1" applyAlignment="1">
      <alignment horizontal="right" vertical="top" wrapText="1"/>
    </xf>
    <xf numFmtId="181" fontId="84" fillId="0" borderId="88" xfId="0" applyNumberFormat="1" applyFont="1" applyBorder="1" applyAlignment="1">
      <alignment horizontal="right" vertical="top" wrapText="1"/>
    </xf>
    <xf numFmtId="181" fontId="84" fillId="0" borderId="108" xfId="0" applyNumberFormat="1" applyFont="1" applyBorder="1" applyAlignment="1">
      <alignment horizontal="right" vertical="top" wrapText="1"/>
    </xf>
    <xf numFmtId="173" fontId="84" fillId="0" borderId="109" xfId="46" applyNumberFormat="1" applyFont="1" applyFill="1" applyBorder="1" applyAlignment="1">
      <alignment horizontal="center" vertical="center"/>
    </xf>
    <xf numFmtId="173" fontId="84" fillId="0" borderId="108" xfId="46" applyNumberFormat="1" applyFont="1" applyFill="1" applyBorder="1" applyAlignment="1">
      <alignment horizontal="center" vertical="center"/>
    </xf>
    <xf numFmtId="182" fontId="44" fillId="0" borderId="92" xfId="0" applyNumberFormat="1" applyFont="1" applyBorder="1" applyAlignment="1">
      <alignment horizontal="right" vertical="top" wrapText="1"/>
    </xf>
    <xf numFmtId="182" fontId="44" fillId="0" borderId="80" xfId="0" applyNumberFormat="1" applyFont="1" applyBorder="1" applyAlignment="1">
      <alignment horizontal="right" vertical="top" wrapText="1"/>
    </xf>
    <xf numFmtId="182" fontId="44" fillId="0" borderId="81" xfId="0" applyNumberFormat="1" applyFont="1" applyBorder="1" applyAlignment="1">
      <alignment horizontal="right" vertical="top" wrapText="1"/>
    </xf>
    <xf numFmtId="44" fontId="44" fillId="0" borderId="79" xfId="46" applyFont="1" applyFill="1" applyBorder="1" applyAlignment="1">
      <alignment horizontal="center" vertical="center" wrapText="1"/>
    </xf>
    <xf numFmtId="44" fontId="44" fillId="0" borderId="81" xfId="46" applyFont="1" applyFill="1" applyBorder="1" applyAlignment="1">
      <alignment horizontal="center" vertical="center" wrapText="1"/>
    </xf>
    <xf numFmtId="44" fontId="44" fillId="0" borderId="106" xfId="46" applyFont="1" applyFill="1" applyBorder="1" applyAlignment="1">
      <alignment horizontal="center" vertical="center" wrapText="1"/>
    </xf>
    <xf numFmtId="44" fontId="44" fillId="0" borderId="105" xfId="46" applyFont="1" applyFill="1" applyBorder="1" applyAlignment="1">
      <alignment horizontal="center" vertical="center" wrapText="1"/>
    </xf>
    <xf numFmtId="184" fontId="41" fillId="3" borderId="111" xfId="0" applyNumberFormat="1" applyFont="1" applyFill="1" applyBorder="1" applyAlignment="1">
      <alignment horizontal="center" vertical="top" wrapText="1"/>
    </xf>
    <xf numFmtId="184" fontId="41" fillId="3" borderId="112" xfId="0" applyNumberFormat="1" applyFont="1" applyFill="1" applyBorder="1" applyAlignment="1">
      <alignment horizontal="center" vertical="top" wrapText="1"/>
    </xf>
    <xf numFmtId="184" fontId="41" fillId="3" borderId="113" xfId="0" applyNumberFormat="1" applyFont="1" applyFill="1" applyBorder="1" applyAlignment="1">
      <alignment horizontal="center" vertical="top" wrapText="1"/>
    </xf>
    <xf numFmtId="183" fontId="41" fillId="3" borderId="114" xfId="0" applyNumberFormat="1" applyFont="1" applyFill="1" applyBorder="1" applyAlignment="1">
      <alignment horizontal="center" vertical="center" wrapText="1"/>
    </xf>
    <xf numFmtId="183" fontId="41" fillId="3" borderId="113" xfId="0" applyNumberFormat="1" applyFont="1" applyFill="1" applyBorder="1" applyAlignment="1">
      <alignment horizontal="center" vertical="center" wrapText="1"/>
    </xf>
    <xf numFmtId="182" fontId="44" fillId="0" borderId="96" xfId="0" applyNumberFormat="1" applyFont="1" applyBorder="1" applyAlignment="1">
      <alignment horizontal="right" vertical="top" wrapText="1"/>
    </xf>
    <xf numFmtId="182" fontId="44" fillId="0" borderId="88" xfId="0" applyNumberFormat="1" applyFont="1" applyBorder="1" applyAlignment="1">
      <alignment horizontal="right" vertical="top" wrapText="1"/>
    </xf>
    <xf numFmtId="182" fontId="44" fillId="0" borderId="108" xfId="0" applyNumberFormat="1" applyFont="1" applyBorder="1" applyAlignment="1">
      <alignment horizontal="right" vertical="top" wrapText="1"/>
    </xf>
    <xf numFmtId="44" fontId="44" fillId="0" borderId="109" xfId="46" applyFont="1" applyFill="1" applyBorder="1" applyAlignment="1">
      <alignment horizontal="center" vertical="center" wrapText="1"/>
    </xf>
    <xf numFmtId="44" fontId="44" fillId="0" borderId="108" xfId="46" applyFont="1" applyFill="1" applyBorder="1" applyAlignment="1">
      <alignment horizontal="center" vertical="center" wrapText="1"/>
    </xf>
    <xf numFmtId="184" fontId="41" fillId="27" borderId="97" xfId="0" applyNumberFormat="1" applyFont="1" applyFill="1" applyBorder="1" applyAlignment="1">
      <alignment horizontal="center" vertical="top" wrapText="1"/>
    </xf>
    <xf numFmtId="184" fontId="41" fillId="27" borderId="98" xfId="0" applyNumberFormat="1" applyFont="1" applyFill="1" applyBorder="1" applyAlignment="1">
      <alignment horizontal="center" vertical="top" wrapText="1"/>
    </xf>
    <xf numFmtId="184" fontId="41" fillId="27" borderId="99" xfId="0" applyNumberFormat="1" applyFont="1" applyFill="1" applyBorder="1" applyAlignment="1">
      <alignment horizontal="center" vertical="top" wrapText="1"/>
    </xf>
    <xf numFmtId="166" fontId="4" fillId="0" borderId="96" xfId="0" applyNumberFormat="1" applyFont="1" applyBorder="1" applyAlignment="1">
      <alignment horizontal="center"/>
    </xf>
    <xf numFmtId="166" fontId="4" fillId="0" borderId="88" xfId="0" applyNumberFormat="1" applyFont="1" applyBorder="1" applyAlignment="1">
      <alignment horizontal="center"/>
    </xf>
    <xf numFmtId="183" fontId="41" fillId="27" borderId="100" xfId="0" applyNumberFormat="1" applyFont="1" applyFill="1" applyBorder="1" applyAlignment="1">
      <alignment horizontal="center" vertical="center" wrapText="1"/>
    </xf>
    <xf numFmtId="183" fontId="41" fillId="27" borderId="99" xfId="0" applyNumberFormat="1" applyFont="1" applyFill="1" applyBorder="1" applyAlignment="1">
      <alignment horizontal="center" vertical="center" wrapText="1"/>
    </xf>
    <xf numFmtId="182" fontId="44" fillId="0" borderId="103" xfId="0" applyNumberFormat="1" applyFont="1" applyBorder="1" applyAlignment="1">
      <alignment horizontal="right" vertical="top" wrapText="1"/>
    </xf>
    <xf numFmtId="182" fontId="44" fillId="0" borderId="104" xfId="0" applyNumberFormat="1" applyFont="1" applyBorder="1" applyAlignment="1">
      <alignment horizontal="right" vertical="top" wrapText="1"/>
    </xf>
    <xf numFmtId="182" fontId="44" fillId="0" borderId="105" xfId="0" applyNumberFormat="1" applyFont="1" applyBorder="1" applyAlignment="1">
      <alignment horizontal="right" vertical="top" wrapText="1"/>
    </xf>
    <xf numFmtId="184" fontId="41" fillId="27" borderId="92" xfId="0" applyNumberFormat="1" applyFont="1" applyFill="1" applyBorder="1" applyAlignment="1">
      <alignment horizontal="center" vertical="top" wrapText="1"/>
    </xf>
    <xf numFmtId="184" fontId="41" fillId="27" borderId="80" xfId="0" applyNumberFormat="1" applyFont="1" applyFill="1" applyBorder="1" applyAlignment="1">
      <alignment horizontal="center" vertical="top" wrapText="1"/>
    </xf>
    <xf numFmtId="184" fontId="41" fillId="27" borderId="81" xfId="0" applyNumberFormat="1" applyFont="1" applyFill="1" applyBorder="1" applyAlignment="1">
      <alignment horizontal="center" vertical="top" wrapText="1"/>
    </xf>
    <xf numFmtId="183" fontId="41" fillId="27" borderId="79" xfId="0" applyNumberFormat="1" applyFont="1" applyFill="1" applyBorder="1" applyAlignment="1">
      <alignment horizontal="center" vertical="center" wrapText="1"/>
    </xf>
    <xf numFmtId="183" fontId="41" fillId="27" borderId="81" xfId="0" applyNumberFormat="1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left"/>
    </xf>
    <xf numFmtId="0" fontId="32" fillId="0" borderId="14" xfId="0" applyFont="1" applyBorder="1" applyAlignment="1">
      <alignment horizontal="left"/>
    </xf>
    <xf numFmtId="0" fontId="32" fillId="0" borderId="60" xfId="0" applyFont="1" applyBorder="1" applyAlignment="1">
      <alignment horizontal="left"/>
    </xf>
    <xf numFmtId="0" fontId="34" fillId="16" borderId="13" xfId="0" applyFont="1" applyFill="1" applyBorder="1" applyAlignment="1">
      <alignment horizontal="left"/>
    </xf>
    <xf numFmtId="0" fontId="34" fillId="16" borderId="14" xfId="0" applyFont="1" applyFill="1" applyBorder="1" applyAlignment="1">
      <alignment horizontal="left"/>
    </xf>
    <xf numFmtId="0" fontId="34" fillId="16" borderId="60" xfId="0" applyFont="1" applyFill="1" applyBorder="1" applyAlignment="1">
      <alignment horizontal="left"/>
    </xf>
    <xf numFmtId="0" fontId="28" fillId="16" borderId="0" xfId="0" applyFont="1" applyFill="1" applyAlignment="1">
      <alignment horizontal="left"/>
    </xf>
    <xf numFmtId="0" fontId="34" fillId="0" borderId="13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0" fontId="25" fillId="2" borderId="15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0" fillId="0" borderId="53" xfId="0" applyBorder="1"/>
    <xf numFmtId="3" fontId="25" fillId="4" borderId="220" xfId="0" applyNumberFormat="1" applyFont="1" applyFill="1" applyBorder="1" applyAlignment="1">
      <alignment horizontal="left"/>
    </xf>
    <xf numFmtId="3" fontId="25" fillId="4" borderId="14" xfId="0" applyNumberFormat="1" applyFont="1" applyFill="1" applyBorder="1" applyAlignment="1">
      <alignment horizontal="left"/>
    </xf>
    <xf numFmtId="3" fontId="25" fillId="4" borderId="60" xfId="0" applyNumberFormat="1" applyFont="1" applyFill="1" applyBorder="1" applyAlignment="1">
      <alignment horizontal="left"/>
    </xf>
    <xf numFmtId="3" fontId="24" fillId="0" borderId="220" xfId="0" applyNumberFormat="1" applyFont="1" applyBorder="1" applyAlignment="1">
      <alignment horizontal="left"/>
    </xf>
    <xf numFmtId="3" fontId="24" fillId="0" borderId="14" xfId="0" applyNumberFormat="1" applyFont="1" applyBorder="1" applyAlignment="1">
      <alignment horizontal="left"/>
    </xf>
    <xf numFmtId="3" fontId="24" fillId="0" borderId="60" xfId="0" applyNumberFormat="1" applyFont="1" applyBorder="1" applyAlignment="1">
      <alignment horizontal="left"/>
    </xf>
    <xf numFmtId="3" fontId="0" fillId="0" borderId="218" xfId="0" applyNumberFormat="1" applyBorder="1" applyAlignment="1">
      <alignment horizontal="left"/>
    </xf>
    <xf numFmtId="3" fontId="0" fillId="0" borderId="11" xfId="0" applyNumberFormat="1" applyBorder="1" applyAlignment="1">
      <alignment horizontal="left"/>
    </xf>
    <xf numFmtId="3" fontId="0" fillId="0" borderId="59" xfId="0" applyNumberFormat="1" applyBorder="1" applyAlignment="1">
      <alignment horizontal="left"/>
    </xf>
    <xf numFmtId="3" fontId="24" fillId="0" borderId="211" xfId="0" applyNumberFormat="1" applyFont="1" applyBorder="1" applyAlignment="1">
      <alignment horizontal="left"/>
    </xf>
    <xf numFmtId="3" fontId="24" fillId="0" borderId="124" xfId="0" applyNumberFormat="1" applyFont="1" applyBorder="1" applyAlignment="1">
      <alignment horizontal="left"/>
    </xf>
    <xf numFmtId="3" fontId="24" fillId="0" borderId="63" xfId="0" applyNumberFormat="1" applyFont="1" applyBorder="1" applyAlignment="1">
      <alignment horizontal="left"/>
    </xf>
    <xf numFmtId="3" fontId="0" fillId="0" borderId="211" xfId="0" applyNumberFormat="1" applyBorder="1" applyAlignment="1">
      <alignment horizontal="left"/>
    </xf>
    <xf numFmtId="3" fontId="0" fillId="0" borderId="124" xfId="0" applyNumberFormat="1" applyBorder="1" applyAlignment="1">
      <alignment horizontal="left"/>
    </xf>
    <xf numFmtId="3" fontId="0" fillId="0" borderId="63" xfId="0" applyNumberFormat="1" applyBorder="1" applyAlignment="1">
      <alignment horizontal="left"/>
    </xf>
    <xf numFmtId="3" fontId="0" fillId="0" borderId="213" xfId="0" applyNumberFormat="1" applyBorder="1" applyAlignment="1">
      <alignment horizontal="left"/>
    </xf>
    <xf numFmtId="3" fontId="0" fillId="0" borderId="56" xfId="0" applyNumberFormat="1" applyBorder="1" applyAlignment="1">
      <alignment horizontal="left"/>
    </xf>
    <xf numFmtId="3" fontId="0" fillId="0" borderId="64" xfId="0" applyNumberFormat="1" applyBorder="1" applyAlignment="1">
      <alignment horizontal="left"/>
    </xf>
    <xf numFmtId="44" fontId="4" fillId="16" borderId="52" xfId="46" applyFont="1" applyFill="1" applyBorder="1" applyAlignment="1">
      <alignment horizontal="center"/>
    </xf>
    <xf numFmtId="44" fontId="4" fillId="16" borderId="46" xfId="46" applyFont="1" applyFill="1" applyBorder="1" applyAlignment="1">
      <alignment horizontal="center"/>
    </xf>
    <xf numFmtId="4" fontId="4" fillId="5" borderId="13" xfId="0" applyNumberFormat="1" applyFont="1" applyFill="1" applyBorder="1" applyAlignment="1">
      <alignment horizontal="left"/>
    </xf>
    <xf numFmtId="4" fontId="4" fillId="5" borderId="14" xfId="0" applyNumberFormat="1" applyFont="1" applyFill="1" applyBorder="1" applyAlignment="1">
      <alignment horizontal="left"/>
    </xf>
    <xf numFmtId="4" fontId="4" fillId="5" borderId="60" xfId="0" applyNumberFormat="1" applyFont="1" applyFill="1" applyBorder="1" applyAlignment="1">
      <alignment horizontal="left"/>
    </xf>
    <xf numFmtId="4" fontId="4" fillId="5" borderId="13" xfId="0" applyNumberFormat="1" applyFont="1" applyFill="1" applyBorder="1" applyAlignment="1">
      <alignment horizontal="center"/>
    </xf>
    <xf numFmtId="4" fontId="4" fillId="5" borderId="60" xfId="0" applyNumberFormat="1" applyFont="1" applyFill="1" applyBorder="1" applyAlignment="1">
      <alignment horizontal="center"/>
    </xf>
    <xf numFmtId="4" fontId="4" fillId="24" borderId="13" xfId="0" applyNumberFormat="1" applyFont="1" applyFill="1" applyBorder="1" applyAlignment="1">
      <alignment horizontal="center"/>
    </xf>
    <xf numFmtId="4" fontId="4" fillId="24" borderId="60" xfId="0" applyNumberFormat="1" applyFont="1" applyFill="1" applyBorder="1" applyAlignment="1">
      <alignment horizontal="center"/>
    </xf>
    <xf numFmtId="3" fontId="4" fillId="18" borderId="13" xfId="0" applyNumberFormat="1" applyFont="1" applyFill="1" applyBorder="1" applyAlignment="1">
      <alignment horizontal="center"/>
    </xf>
    <xf numFmtId="3" fontId="4" fillId="18" borderId="60" xfId="0" applyNumberFormat="1" applyFont="1" applyFill="1" applyBorder="1" applyAlignment="1">
      <alignment horizontal="center"/>
    </xf>
    <xf numFmtId="3" fontId="24" fillId="0" borderId="52" xfId="0" applyNumberFormat="1" applyFont="1" applyBorder="1" applyAlignment="1">
      <alignment horizontal="left" vertical="center" wrapText="1"/>
    </xf>
    <xf numFmtId="3" fontId="24" fillId="0" borderId="0" xfId="0" applyNumberFormat="1" applyFont="1" applyAlignment="1">
      <alignment horizontal="left" vertical="center" wrapText="1"/>
    </xf>
    <xf numFmtId="3" fontId="24" fillId="0" borderId="46" xfId="0" applyNumberFormat="1" applyFont="1" applyBorder="1" applyAlignment="1">
      <alignment horizontal="left" vertical="center" wrapText="1"/>
    </xf>
    <xf numFmtId="3" fontId="24" fillId="0" borderId="216" xfId="0" applyNumberFormat="1" applyFont="1" applyBorder="1" applyAlignment="1">
      <alignment horizontal="left" vertical="center" wrapText="1"/>
    </xf>
    <xf numFmtId="3" fontId="24" fillId="0" borderId="69" xfId="0" applyNumberFormat="1" applyFont="1" applyBorder="1" applyAlignment="1">
      <alignment horizontal="left" vertical="center" wrapText="1"/>
    </xf>
    <xf numFmtId="3" fontId="24" fillId="0" borderId="67" xfId="0" applyNumberFormat="1" applyFont="1" applyBorder="1" applyAlignment="1">
      <alignment horizontal="left" vertical="center" wrapText="1"/>
    </xf>
    <xf numFmtId="3" fontId="24" fillId="0" borderId="218" xfId="0" applyNumberFormat="1" applyFont="1" applyBorder="1" applyAlignment="1">
      <alignment horizontal="left" vertical="center" wrapText="1"/>
    </xf>
    <xf numFmtId="3" fontId="24" fillId="0" borderId="11" xfId="0" applyNumberFormat="1" applyFont="1" applyBorder="1" applyAlignment="1">
      <alignment horizontal="left" vertical="center" wrapText="1"/>
    </xf>
    <xf numFmtId="3" fontId="24" fillId="0" borderId="59" xfId="0" applyNumberFormat="1" applyFont="1" applyBorder="1" applyAlignment="1">
      <alignment horizontal="left" vertical="center" wrapText="1"/>
    </xf>
    <xf numFmtId="3" fontId="0" fillId="0" borderId="216" xfId="0" applyNumberFormat="1" applyBorder="1" applyAlignment="1">
      <alignment horizontal="left" vertical="center" wrapText="1"/>
    </xf>
    <xf numFmtId="3" fontId="0" fillId="0" borderId="69" xfId="0" applyNumberFormat="1" applyBorder="1" applyAlignment="1">
      <alignment horizontal="left" vertical="center" wrapText="1"/>
    </xf>
    <xf numFmtId="3" fontId="0" fillId="0" borderId="67" xfId="0" applyNumberFormat="1" applyBorder="1" applyAlignment="1">
      <alignment horizontal="left" vertical="center" wrapText="1"/>
    </xf>
    <xf numFmtId="3" fontId="0" fillId="0" borderId="218" xfId="0" applyNumberFormat="1" applyBorder="1" applyAlignment="1">
      <alignment horizontal="left" vertical="center" wrapText="1"/>
    </xf>
    <xf numFmtId="3" fontId="0" fillId="0" borderId="11" xfId="0" applyNumberFormat="1" applyBorder="1" applyAlignment="1">
      <alignment horizontal="left" vertical="center" wrapText="1"/>
    </xf>
    <xf numFmtId="3" fontId="0" fillId="0" borderId="59" xfId="0" applyNumberFormat="1" applyBorder="1" applyAlignment="1">
      <alignment horizontal="left" vertical="center" wrapText="1"/>
    </xf>
    <xf numFmtId="0" fontId="28" fillId="23" borderId="173" xfId="0" applyFont="1" applyFill="1" applyBorder="1" applyAlignment="1">
      <alignment horizontal="center" vertical="center"/>
    </xf>
    <xf numFmtId="0" fontId="28" fillId="23" borderId="174" xfId="0" applyFont="1" applyFill="1" applyBorder="1" applyAlignment="1">
      <alignment horizontal="center" vertical="center"/>
    </xf>
    <xf numFmtId="0" fontId="28" fillId="23" borderId="222" xfId="0" applyFont="1" applyFill="1" applyBorder="1" applyAlignment="1">
      <alignment horizontal="center" vertical="center"/>
    </xf>
    <xf numFmtId="0" fontId="28" fillId="23" borderId="158" xfId="0" applyFont="1" applyFill="1" applyBorder="1" applyAlignment="1">
      <alignment horizontal="center" vertical="center"/>
    </xf>
    <xf numFmtId="0" fontId="28" fillId="23" borderId="159" xfId="0" applyFont="1" applyFill="1" applyBorder="1" applyAlignment="1">
      <alignment horizontal="center" vertical="center"/>
    </xf>
    <xf numFmtId="0" fontId="28" fillId="23" borderId="223" xfId="0" applyFont="1" applyFill="1" applyBorder="1" applyAlignment="1">
      <alignment horizontal="center" vertical="center"/>
    </xf>
    <xf numFmtId="3" fontId="4" fillId="18" borderId="13" xfId="0" applyNumberFormat="1" applyFont="1" applyFill="1" applyBorder="1" applyAlignment="1">
      <alignment horizontal="left"/>
    </xf>
    <xf numFmtId="3" fontId="4" fillId="18" borderId="14" xfId="0" applyNumberFormat="1" applyFont="1" applyFill="1" applyBorder="1" applyAlignment="1">
      <alignment horizontal="left"/>
    </xf>
    <xf numFmtId="3" fontId="4" fillId="18" borderId="60" xfId="0" applyNumberFormat="1" applyFont="1" applyFill="1" applyBorder="1" applyAlignment="1">
      <alignment horizontal="left"/>
    </xf>
    <xf numFmtId="44" fontId="4" fillId="24" borderId="14" xfId="46" applyFont="1" applyFill="1" applyBorder="1" applyAlignment="1">
      <alignment horizontal="center" vertical="top"/>
    </xf>
    <xf numFmtId="44" fontId="4" fillId="24" borderId="60" xfId="46" applyFont="1" applyFill="1" applyBorder="1" applyAlignment="1">
      <alignment horizontal="center" vertical="top"/>
    </xf>
    <xf numFmtId="9" fontId="0" fillId="16" borderId="56" xfId="47" applyFont="1" applyFill="1" applyBorder="1" applyAlignment="1">
      <alignment horizontal="right" vertical="center"/>
    </xf>
    <xf numFmtId="9" fontId="0" fillId="16" borderId="214" xfId="47" applyFont="1" applyFill="1" applyBorder="1" applyAlignment="1">
      <alignment horizontal="right" vertical="center"/>
    </xf>
    <xf numFmtId="44" fontId="0" fillId="16" borderId="124" xfId="46" applyFont="1" applyFill="1" applyBorder="1" applyAlignment="1">
      <alignment horizontal="center"/>
    </xf>
    <xf numFmtId="44" fontId="0" fillId="16" borderId="212" xfId="46" applyFont="1" applyFill="1" applyBorder="1" applyAlignment="1">
      <alignment horizontal="center"/>
    </xf>
    <xf numFmtId="44" fontId="24" fillId="16" borderId="48" xfId="46" applyFont="1" applyFill="1" applyBorder="1" applyAlignment="1">
      <alignment horizontal="center" vertical="center"/>
    </xf>
    <xf numFmtId="44" fontId="24" fillId="16" borderId="217" xfId="46" applyFont="1" applyFill="1" applyBorder="1" applyAlignment="1">
      <alignment horizontal="center" vertical="center"/>
    </xf>
    <xf numFmtId="44" fontId="24" fillId="16" borderId="71" xfId="46" applyFont="1" applyFill="1" applyBorder="1" applyAlignment="1">
      <alignment horizontal="center" vertical="center"/>
    </xf>
    <xf numFmtId="44" fontId="24" fillId="16" borderId="219" xfId="46" applyFont="1" applyFill="1" applyBorder="1" applyAlignment="1">
      <alignment horizontal="center" vertical="center"/>
    </xf>
    <xf numFmtId="4" fontId="4" fillId="4" borderId="185" xfId="0" applyNumberFormat="1" applyFont="1" applyFill="1" applyBorder="1" applyAlignment="1">
      <alignment horizontal="center"/>
    </xf>
    <xf numFmtId="4" fontId="4" fillId="4" borderId="186" xfId="0" applyNumberFormat="1" applyFont="1" applyFill="1" applyBorder="1" applyAlignment="1">
      <alignment horizontal="center"/>
    </xf>
    <xf numFmtId="44" fontId="0" fillId="16" borderId="14" xfId="46" applyFont="1" applyFill="1" applyBorder="1" applyAlignment="1">
      <alignment horizontal="center"/>
    </xf>
    <xf numFmtId="44" fontId="0" fillId="16" borderId="221" xfId="46" applyFont="1" applyFill="1" applyBorder="1" applyAlignment="1">
      <alignment horizontal="center"/>
    </xf>
    <xf numFmtId="3" fontId="24" fillId="0" borderId="220" xfId="0" applyNumberFormat="1" applyFont="1" applyBorder="1" applyAlignment="1">
      <alignment horizontal="left" vertical="center" wrapText="1"/>
    </xf>
    <xf numFmtId="3" fontId="24" fillId="0" borderId="14" xfId="0" applyNumberFormat="1" applyFont="1" applyBorder="1" applyAlignment="1">
      <alignment horizontal="left" vertical="center" wrapText="1"/>
    </xf>
    <xf numFmtId="3" fontId="24" fillId="0" borderId="60" xfId="0" applyNumberFormat="1" applyFont="1" applyBorder="1" applyAlignment="1">
      <alignment horizontal="left" vertical="center" wrapText="1"/>
    </xf>
    <xf numFmtId="0" fontId="28" fillId="23" borderId="175" xfId="0" applyFont="1" applyFill="1" applyBorder="1" applyAlignment="1">
      <alignment horizontal="center" vertical="center"/>
    </xf>
    <xf numFmtId="0" fontId="28" fillId="23" borderId="160" xfId="0" applyFont="1" applyFill="1" applyBorder="1" applyAlignment="1">
      <alignment horizontal="center" vertical="center"/>
    </xf>
    <xf numFmtId="44" fontId="24" fillId="16" borderId="14" xfId="46" applyFont="1" applyFill="1" applyBorder="1" applyAlignment="1">
      <alignment horizontal="center"/>
    </xf>
    <xf numFmtId="44" fontId="24" fillId="16" borderId="221" xfId="46" applyFont="1" applyFill="1" applyBorder="1" applyAlignment="1">
      <alignment horizontal="center"/>
    </xf>
    <xf numFmtId="44" fontId="3" fillId="16" borderId="124" xfId="46" applyFont="1" applyFill="1" applyBorder="1" applyAlignment="1">
      <alignment horizontal="center"/>
    </xf>
    <xf numFmtId="44" fontId="3" fillId="16" borderId="212" xfId="46" applyFont="1" applyFill="1" applyBorder="1" applyAlignment="1">
      <alignment horizontal="center"/>
    </xf>
    <xf numFmtId="3" fontId="0" fillId="0" borderId="218" xfId="0" applyNumberFormat="1" applyBorder="1" applyAlignment="1">
      <alignment horizontal="left" wrapText="1"/>
    </xf>
    <xf numFmtId="3" fontId="0" fillId="0" borderId="11" xfId="0" applyNumberFormat="1" applyBorder="1" applyAlignment="1">
      <alignment horizontal="left" wrapText="1"/>
    </xf>
    <xf numFmtId="3" fontId="0" fillId="0" borderId="59" xfId="0" applyNumberFormat="1" applyBorder="1" applyAlignment="1">
      <alignment horizontal="left" wrapText="1"/>
    </xf>
    <xf numFmtId="44" fontId="0" fillId="16" borderId="48" xfId="46" applyFont="1" applyFill="1" applyBorder="1" applyAlignment="1">
      <alignment horizontal="center" vertical="center"/>
    </xf>
    <xf numFmtId="44" fontId="0" fillId="16" borderId="217" xfId="46" applyFont="1" applyFill="1" applyBorder="1" applyAlignment="1">
      <alignment horizontal="center" vertical="center"/>
    </xf>
    <xf numFmtId="44" fontId="0" fillId="16" borderId="71" xfId="46" applyFont="1" applyFill="1" applyBorder="1" applyAlignment="1">
      <alignment horizontal="center" vertical="center"/>
    </xf>
    <xf numFmtId="44" fontId="0" fillId="16" borderId="219" xfId="46" applyFont="1" applyFill="1" applyBorder="1" applyAlignment="1">
      <alignment horizontal="center" vertical="center"/>
    </xf>
    <xf numFmtId="3" fontId="0" fillId="0" borderId="220" xfId="0" applyNumberFormat="1" applyBorder="1" applyAlignment="1">
      <alignment horizontal="left"/>
    </xf>
    <xf numFmtId="3" fontId="0" fillId="0" borderId="14" xfId="0" applyNumberFormat="1" applyBorder="1" applyAlignment="1">
      <alignment horizontal="left"/>
    </xf>
    <xf numFmtId="3" fontId="0" fillId="0" borderId="60" xfId="0" applyNumberFormat="1" applyBorder="1" applyAlignment="1">
      <alignment horizontal="left"/>
    </xf>
    <xf numFmtId="44" fontId="24" fillId="16" borderId="69" xfId="46" applyFont="1" applyFill="1" applyBorder="1" applyAlignment="1">
      <alignment horizontal="center" vertical="center"/>
    </xf>
    <xf numFmtId="44" fontId="24" fillId="16" borderId="11" xfId="46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219" xfId="0" applyBorder="1" applyAlignment="1">
      <alignment horizontal="center" vertical="center"/>
    </xf>
    <xf numFmtId="10" fontId="0" fillId="0" borderId="0" xfId="47" applyNumberFormat="1" applyFont="1" applyAlignment="1">
      <alignment horizontal="right" vertical="center"/>
    </xf>
    <xf numFmtId="3" fontId="4" fillId="16" borderId="86" xfId="0" applyNumberFormat="1" applyFont="1" applyFill="1" applyBorder="1" applyAlignment="1">
      <alignment horizontal="center"/>
    </xf>
    <xf numFmtId="3" fontId="4" fillId="16" borderId="210" xfId="0" applyNumberFormat="1" applyFont="1" applyFill="1" applyBorder="1" applyAlignment="1">
      <alignment horizontal="center"/>
    </xf>
    <xf numFmtId="44" fontId="0" fillId="16" borderId="124" xfId="46" applyFont="1" applyFill="1" applyBorder="1" applyAlignment="1">
      <alignment vertical="center"/>
    </xf>
    <xf numFmtId="44" fontId="0" fillId="16" borderId="212" xfId="46" applyFont="1" applyFill="1" applyBorder="1" applyAlignment="1">
      <alignment vertical="center"/>
    </xf>
    <xf numFmtId="3" fontId="49" fillId="0" borderId="52" xfId="0" applyNumberFormat="1" applyFont="1" applyBorder="1" applyAlignment="1">
      <alignment horizontal="center" vertical="center"/>
    </xf>
    <xf numFmtId="3" fontId="49" fillId="0" borderId="0" xfId="0" applyNumberFormat="1" applyFont="1" applyAlignment="1">
      <alignment horizontal="center" vertical="center"/>
    </xf>
    <xf numFmtId="3" fontId="49" fillId="0" borderId="52" xfId="0" applyNumberFormat="1" applyFont="1" applyBorder="1" applyAlignment="1">
      <alignment horizontal="center"/>
    </xf>
    <xf numFmtId="3" fontId="49" fillId="0" borderId="0" xfId="0" applyNumberFormat="1" applyFont="1" applyAlignment="1">
      <alignment horizontal="center"/>
    </xf>
    <xf numFmtId="3" fontId="49" fillId="0" borderId="46" xfId="0" applyNumberFormat="1" applyFont="1" applyBorder="1" applyAlignment="1">
      <alignment horizontal="center"/>
    </xf>
    <xf numFmtId="3" fontId="25" fillId="25" borderId="13" xfId="0" applyNumberFormat="1" applyFont="1" applyFill="1" applyBorder="1" applyAlignment="1">
      <alignment horizontal="center"/>
    </xf>
    <xf numFmtId="3" fontId="25" fillId="25" borderId="60" xfId="0" applyNumberFormat="1" applyFont="1" applyFill="1" applyBorder="1" applyAlignment="1">
      <alignment horizontal="center"/>
    </xf>
    <xf numFmtId="3" fontId="0" fillId="0" borderId="52" xfId="0" applyNumberFormat="1" applyBorder="1" applyAlignment="1">
      <alignment wrapText="1"/>
    </xf>
    <xf numFmtId="3" fontId="0" fillId="0" borderId="0" xfId="0" applyNumberFormat="1" applyAlignment="1">
      <alignment wrapText="1"/>
    </xf>
    <xf numFmtId="3" fontId="0" fillId="0" borderId="46" xfId="0" applyNumberFormat="1" applyBorder="1" applyAlignment="1">
      <alignment wrapText="1"/>
    </xf>
    <xf numFmtId="3" fontId="0" fillId="0" borderId="52" xfId="0" applyNumberFormat="1" applyBorder="1" applyAlignment="1">
      <alignment horizontal="left"/>
    </xf>
    <xf numFmtId="3" fontId="0" fillId="0" borderId="0" xfId="0" applyNumberFormat="1" applyAlignment="1">
      <alignment horizontal="left"/>
    </xf>
    <xf numFmtId="3" fontId="0" fillId="0" borderId="46" xfId="0" applyNumberFormat="1" applyBorder="1" applyAlignment="1">
      <alignment horizontal="left"/>
    </xf>
    <xf numFmtId="3" fontId="24" fillId="0" borderId="52" xfId="0" applyNumberFormat="1" applyFont="1" applyBorder="1" applyAlignment="1">
      <alignment horizontal="left"/>
    </xf>
    <xf numFmtId="3" fontId="24" fillId="0" borderId="0" xfId="0" applyNumberFormat="1" applyFont="1" applyAlignment="1">
      <alignment horizontal="left"/>
    </xf>
    <xf numFmtId="3" fontId="0" fillId="0" borderId="52" xfId="0" applyNumberFormat="1" applyBorder="1" applyAlignment="1">
      <alignment horizontal="left" wrapText="1"/>
    </xf>
    <xf numFmtId="3" fontId="0" fillId="0" borderId="0" xfId="0" applyNumberFormat="1" applyAlignment="1">
      <alignment horizontal="left" wrapText="1"/>
    </xf>
    <xf numFmtId="3" fontId="0" fillId="0" borderId="46" xfId="0" applyNumberFormat="1" applyBorder="1" applyAlignment="1">
      <alignment horizontal="left" wrapText="1"/>
    </xf>
    <xf numFmtId="3" fontId="24" fillId="0" borderId="52" xfId="0" applyNumberFormat="1" applyFont="1" applyBorder="1" applyAlignment="1">
      <alignment horizontal="left" wrapText="1"/>
    </xf>
    <xf numFmtId="3" fontId="24" fillId="0" borderId="0" xfId="0" applyNumberFormat="1" applyFont="1" applyAlignment="1">
      <alignment horizontal="left" wrapText="1"/>
    </xf>
    <xf numFmtId="3" fontId="24" fillId="0" borderId="46" xfId="0" applyNumberFormat="1" applyFont="1" applyBorder="1" applyAlignment="1">
      <alignment horizontal="left" wrapText="1"/>
    </xf>
    <xf numFmtId="3" fontId="24" fillId="0" borderId="216" xfId="0" applyNumberFormat="1" applyFont="1" applyBorder="1" applyAlignment="1">
      <alignment horizontal="left"/>
    </xf>
    <xf numFmtId="3" fontId="24" fillId="0" borderId="69" xfId="0" applyNumberFormat="1" applyFont="1" applyBorder="1" applyAlignment="1">
      <alignment horizontal="left"/>
    </xf>
    <xf numFmtId="3" fontId="24" fillId="0" borderId="67" xfId="0" applyNumberFormat="1" applyFont="1" applyBorder="1" applyAlignment="1">
      <alignment horizontal="left"/>
    </xf>
    <xf numFmtId="3" fontId="24" fillId="4" borderId="218" xfId="0" applyNumberFormat="1" applyFont="1" applyFill="1" applyBorder="1" applyAlignment="1">
      <alignment horizontal="left"/>
    </xf>
    <xf numFmtId="3" fontId="24" fillId="4" borderId="11" xfId="0" applyNumberFormat="1" applyFont="1" applyFill="1" applyBorder="1" applyAlignment="1">
      <alignment horizontal="left"/>
    </xf>
    <xf numFmtId="3" fontId="24" fillId="4" borderId="59" xfId="0" applyNumberFormat="1" applyFont="1" applyFill="1" applyBorder="1" applyAlignment="1">
      <alignment horizontal="left"/>
    </xf>
    <xf numFmtId="3" fontId="4" fillId="0" borderId="13" xfId="0" applyNumberFormat="1" applyFont="1" applyBorder="1" applyAlignment="1">
      <alignment horizontal="center"/>
    </xf>
    <xf numFmtId="3" fontId="4" fillId="0" borderId="60" xfId="0" applyNumberFormat="1" applyFont="1" applyBorder="1" applyAlignment="1">
      <alignment horizontal="center"/>
    </xf>
    <xf numFmtId="44" fontId="41" fillId="35" borderId="49" xfId="46" applyFont="1" applyFill="1" applyBorder="1" applyAlignment="1">
      <alignment horizontal="center"/>
    </xf>
    <xf numFmtId="44" fontId="41" fillId="35" borderId="63" xfId="46" applyFont="1" applyFill="1" applyBorder="1" applyAlignment="1">
      <alignment horizontal="center"/>
    </xf>
    <xf numFmtId="0" fontId="41" fillId="0" borderId="48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41" fillId="0" borderId="71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59" xfId="0" applyFont="1" applyBorder="1" applyAlignment="1">
      <alignment horizontal="center" vertical="center"/>
    </xf>
    <xf numFmtId="44" fontId="41" fillId="35" borderId="13" xfId="46" applyFont="1" applyFill="1" applyBorder="1" applyAlignment="1">
      <alignment horizontal="right"/>
    </xf>
    <xf numFmtId="44" fontId="41" fillId="35" borderId="60" xfId="46" applyFont="1" applyFill="1" applyBorder="1" applyAlignment="1">
      <alignment horizontal="right"/>
    </xf>
    <xf numFmtId="186" fontId="71" fillId="36" borderId="50" xfId="46" applyNumberFormat="1" applyFont="1" applyFill="1" applyBorder="1" applyAlignment="1">
      <alignment horizontal="right"/>
    </xf>
    <xf numFmtId="186" fontId="71" fillId="36" borderId="64" xfId="46" applyNumberFormat="1" applyFont="1" applyFill="1" applyBorder="1" applyAlignment="1">
      <alignment horizontal="right"/>
    </xf>
    <xf numFmtId="44" fontId="41" fillId="35" borderId="13" xfId="46" applyFont="1" applyFill="1" applyBorder="1" applyAlignment="1">
      <alignment horizontal="center"/>
    </xf>
    <xf numFmtId="44" fontId="41" fillId="35" borderId="60" xfId="46" applyFont="1" applyFill="1" applyBorder="1" applyAlignment="1">
      <alignment horizontal="center"/>
    </xf>
    <xf numFmtId="166" fontId="71" fillId="0" borderId="13" xfId="0" applyNumberFormat="1" applyFont="1" applyBorder="1" applyAlignment="1">
      <alignment horizontal="center"/>
    </xf>
    <xf numFmtId="166" fontId="71" fillId="0" borderId="60" xfId="0" applyNumberFormat="1" applyFont="1" applyBorder="1" applyAlignment="1">
      <alignment horizontal="center"/>
    </xf>
    <xf numFmtId="44" fontId="71" fillId="36" borderId="49" xfId="46" applyFont="1" applyFill="1" applyBorder="1" applyAlignment="1">
      <alignment horizontal="center"/>
    </xf>
    <xf numFmtId="44" fontId="71" fillId="36" borderId="63" xfId="46" applyFont="1" applyFill="1" applyBorder="1" applyAlignment="1">
      <alignment horizontal="center"/>
    </xf>
    <xf numFmtId="44" fontId="41" fillId="35" borderId="49" xfId="46" applyFont="1" applyFill="1" applyBorder="1" applyAlignment="1">
      <alignment horizontal="center" vertical="center"/>
    </xf>
    <xf numFmtId="44" fontId="41" fillId="35" borderId="63" xfId="46" applyFont="1" applyFill="1" applyBorder="1" applyAlignment="1">
      <alignment horizontal="center" vertical="center"/>
    </xf>
    <xf numFmtId="3" fontId="28" fillId="5" borderId="13" xfId="0" applyNumberFormat="1" applyFont="1" applyFill="1" applyBorder="1" applyAlignment="1">
      <alignment horizontal="center"/>
    </xf>
    <xf numFmtId="3" fontId="28" fillId="5" borderId="14" xfId="0" applyNumberFormat="1" applyFont="1" applyFill="1" applyBorder="1" applyAlignment="1">
      <alignment horizontal="center"/>
    </xf>
    <xf numFmtId="3" fontId="28" fillId="5" borderId="60" xfId="0" applyNumberFormat="1" applyFont="1" applyFill="1" applyBorder="1" applyAlignment="1">
      <alignment horizontal="center"/>
    </xf>
    <xf numFmtId="3" fontId="4" fillId="25" borderId="13" xfId="0" applyNumberFormat="1" applyFont="1" applyFill="1" applyBorder="1" applyAlignment="1">
      <alignment horizontal="center"/>
    </xf>
    <xf numFmtId="3" fontId="4" fillId="25" borderId="60" xfId="0" applyNumberFormat="1" applyFont="1" applyFill="1" applyBorder="1" applyAlignment="1">
      <alignment horizontal="center"/>
    </xf>
    <xf numFmtId="0" fontId="24" fillId="0" borderId="52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0" borderId="46" xfId="0" applyFont="1" applyBorder="1" applyAlignment="1">
      <alignment horizontal="left" wrapText="1"/>
    </xf>
    <xf numFmtId="4" fontId="4" fillId="18" borderId="13" xfId="0" applyNumberFormat="1" applyFont="1" applyFill="1" applyBorder="1" applyAlignment="1">
      <alignment horizontal="center"/>
    </xf>
    <xf numFmtId="4" fontId="4" fillId="18" borderId="60" xfId="0" applyNumberFormat="1" applyFont="1" applyFill="1" applyBorder="1" applyAlignment="1">
      <alignment horizontal="center"/>
    </xf>
    <xf numFmtId="4" fontId="4" fillId="23" borderId="13" xfId="0" applyNumberFormat="1" applyFont="1" applyFill="1" applyBorder="1" applyAlignment="1">
      <alignment horizontal="center"/>
    </xf>
    <xf numFmtId="4" fontId="4" fillId="23" borderId="60" xfId="0" applyNumberFormat="1" applyFont="1" applyFill="1" applyBorder="1" applyAlignment="1">
      <alignment horizontal="center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5" fillId="0" borderId="67" xfId="0" applyFont="1" applyBorder="1" applyAlignment="1">
      <alignment horizontal="left" vertical="center" wrapText="1"/>
    </xf>
    <xf numFmtId="0" fontId="24" fillId="0" borderId="52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46" xfId="0" applyFont="1" applyBorder="1" applyAlignment="1">
      <alignment horizontal="left" vertical="center" wrapText="1"/>
    </xf>
    <xf numFmtId="0" fontId="24" fillId="0" borderId="7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59" xfId="0" applyFont="1" applyBorder="1" applyAlignment="1">
      <alignment horizontal="left" vertical="center" wrapText="1"/>
    </xf>
    <xf numFmtId="166" fontId="83" fillId="30" borderId="0" xfId="0" applyNumberFormat="1" applyFont="1" applyFill="1" applyAlignment="1">
      <alignment horizontal="center"/>
    </xf>
    <xf numFmtId="0" fontId="41" fillId="35" borderId="73" xfId="0" applyFont="1" applyFill="1" applyBorder="1" applyAlignment="1">
      <alignment horizontal="center"/>
    </xf>
    <xf numFmtId="0" fontId="41" fillId="35" borderId="62" xfId="0" applyFont="1" applyFill="1" applyBorder="1" applyAlignment="1">
      <alignment horizontal="center"/>
    </xf>
    <xf numFmtId="0" fontId="54" fillId="29" borderId="14" xfId="0" applyFont="1" applyFill="1" applyBorder="1" applyAlignment="1">
      <alignment horizontal="center"/>
    </xf>
    <xf numFmtId="0" fontId="54" fillId="29" borderId="60" xfId="0" applyFont="1" applyFill="1" applyBorder="1" applyAlignment="1">
      <alignment horizontal="center"/>
    </xf>
    <xf numFmtId="0" fontId="54" fillId="28" borderId="14" xfId="0" applyFont="1" applyFill="1" applyBorder="1" applyAlignment="1">
      <alignment horizontal="center"/>
    </xf>
    <xf numFmtId="0" fontId="54" fillId="28" borderId="60" xfId="0" applyFont="1" applyFill="1" applyBorder="1" applyAlignment="1">
      <alignment horizontal="center"/>
    </xf>
    <xf numFmtId="0" fontId="63" fillId="21" borderId="0" xfId="0" applyFont="1" applyFill="1" applyAlignment="1">
      <alignment horizontal="center"/>
    </xf>
    <xf numFmtId="0" fontId="59" fillId="19" borderId="0" xfId="0" applyFont="1" applyFill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166" fontId="4" fillId="23" borderId="13" xfId="0" applyNumberFormat="1" applyFont="1" applyFill="1" applyBorder="1" applyAlignment="1">
      <alignment horizontal="center"/>
    </xf>
    <xf numFmtId="166" fontId="4" fillId="23" borderId="14" xfId="0" applyNumberFormat="1" applyFont="1" applyFill="1" applyBorder="1" applyAlignment="1">
      <alignment horizontal="center"/>
    </xf>
    <xf numFmtId="166" fontId="4" fillId="23" borderId="60" xfId="0" applyNumberFormat="1" applyFont="1" applyFill="1" applyBorder="1" applyAlignment="1">
      <alignment horizontal="center"/>
    </xf>
    <xf numFmtId="166" fontId="75" fillId="7" borderId="171" xfId="0" applyNumberFormat="1" applyFont="1" applyFill="1" applyBorder="1" applyAlignment="1">
      <alignment horizontal="center"/>
    </xf>
    <xf numFmtId="166" fontId="75" fillId="7" borderId="172" xfId="0" applyNumberFormat="1" applyFont="1" applyFill="1" applyBorder="1" applyAlignment="1">
      <alignment horizontal="center"/>
    </xf>
    <xf numFmtId="166" fontId="75" fillId="22" borderId="171" xfId="0" applyNumberFormat="1" applyFont="1" applyFill="1" applyBorder="1" applyAlignment="1">
      <alignment horizontal="center"/>
    </xf>
    <xf numFmtId="166" fontId="75" fillId="22" borderId="172" xfId="0" applyNumberFormat="1" applyFont="1" applyFill="1" applyBorder="1" applyAlignment="1">
      <alignment horizontal="center"/>
    </xf>
    <xf numFmtId="166" fontId="0" fillId="0" borderId="49" xfId="0" applyNumberFormat="1" applyBorder="1" applyAlignment="1">
      <alignment horizontal="center"/>
    </xf>
    <xf numFmtId="166" fontId="0" fillId="0" borderId="124" xfId="0" applyNumberFormat="1" applyBorder="1" applyAlignment="1">
      <alignment horizontal="center"/>
    </xf>
    <xf numFmtId="166" fontId="0" fillId="0" borderId="63" xfId="0" applyNumberFormat="1" applyBorder="1" applyAlignment="1">
      <alignment horizontal="center"/>
    </xf>
    <xf numFmtId="166" fontId="28" fillId="14" borderId="43" xfId="0" applyNumberFormat="1" applyFont="1" applyFill="1" applyBorder="1" applyAlignment="1">
      <alignment horizontal="center" vertical="center"/>
    </xf>
    <xf numFmtId="166" fontId="28" fillId="14" borderId="53" xfId="0" applyNumberFormat="1" applyFont="1" applyFill="1" applyBorder="1" applyAlignment="1">
      <alignment horizontal="center" vertical="center"/>
    </xf>
    <xf numFmtId="166" fontId="28" fillId="23" borderId="13" xfId="0" applyNumberFormat="1" applyFont="1" applyFill="1" applyBorder="1" applyAlignment="1">
      <alignment horizontal="left"/>
    </xf>
    <xf numFmtId="166" fontId="28" fillId="23" borderId="14" xfId="0" applyNumberFormat="1" applyFont="1" applyFill="1" applyBorder="1" applyAlignment="1">
      <alignment horizontal="left"/>
    </xf>
    <xf numFmtId="166" fontId="28" fillId="23" borderId="60" xfId="0" applyNumberFormat="1" applyFont="1" applyFill="1" applyBorder="1" applyAlignment="1">
      <alignment horizontal="left"/>
    </xf>
    <xf numFmtId="0" fontId="4" fillId="6" borderId="48" xfId="0" applyFont="1" applyFill="1" applyBorder="1" applyAlignment="1">
      <alignment horizontal="center" vertical="center"/>
    </xf>
    <xf numFmtId="0" fontId="4" fillId="6" borderId="69" xfId="0" applyFont="1" applyFill="1" applyBorder="1" applyAlignment="1">
      <alignment horizontal="center" vertical="center"/>
    </xf>
    <xf numFmtId="0" fontId="4" fillId="6" borderId="67" xfId="0" applyFont="1" applyFill="1" applyBorder="1" applyAlignment="1">
      <alignment horizontal="center" vertical="center"/>
    </xf>
    <xf numFmtId="0" fontId="4" fillId="6" borderId="71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59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4" fillId="6" borderId="53" xfId="0" applyFont="1" applyFill="1" applyBorder="1" applyAlignment="1">
      <alignment horizontal="center" vertical="center"/>
    </xf>
    <xf numFmtId="166" fontId="64" fillId="18" borderId="13" xfId="0" applyNumberFormat="1" applyFont="1" applyFill="1" applyBorder="1" applyAlignment="1">
      <alignment horizontal="center"/>
    </xf>
    <xf numFmtId="166" fontId="64" fillId="18" borderId="14" xfId="0" applyNumberFormat="1" applyFont="1" applyFill="1" applyBorder="1" applyAlignment="1">
      <alignment horizontal="center"/>
    </xf>
    <xf numFmtId="166" fontId="28" fillId="14" borderId="44" xfId="0" applyNumberFormat="1" applyFont="1" applyFill="1" applyBorder="1" applyAlignment="1">
      <alignment horizontal="center" vertical="center"/>
    </xf>
    <xf numFmtId="166" fontId="4" fillId="0" borderId="43" xfId="0" applyNumberFormat="1" applyFont="1" applyBorder="1" applyAlignment="1">
      <alignment horizontal="center" vertical="center"/>
    </xf>
    <xf numFmtId="166" fontId="4" fillId="0" borderId="85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>
      <alignment horizontal="left" vertical="center" wrapText="1"/>
    </xf>
    <xf numFmtId="166" fontId="4" fillId="0" borderId="85" xfId="0" applyNumberFormat="1" applyFont="1" applyBorder="1" applyAlignment="1">
      <alignment horizontal="left" vertical="center" wrapText="1"/>
    </xf>
    <xf numFmtId="166" fontId="28" fillId="14" borderId="198" xfId="0" applyNumberFormat="1" applyFont="1" applyFill="1" applyBorder="1" applyAlignment="1">
      <alignment horizontal="center" vertical="center"/>
    </xf>
    <xf numFmtId="166" fontId="28" fillId="14" borderId="199" xfId="0" applyNumberFormat="1" applyFont="1" applyFill="1" applyBorder="1" applyAlignment="1">
      <alignment horizontal="center" vertical="center"/>
    </xf>
    <xf numFmtId="166" fontId="30" fillId="25" borderId="0" xfId="0" applyNumberFormat="1" applyFont="1" applyFill="1" applyAlignment="1">
      <alignment horizontal="center"/>
    </xf>
    <xf numFmtId="166" fontId="75" fillId="16" borderId="136" xfId="0" applyNumberFormat="1" applyFont="1" applyFill="1" applyBorder="1" applyAlignment="1">
      <alignment horizontal="center"/>
    </xf>
    <xf numFmtId="166" fontId="75" fillId="16" borderId="145" xfId="0" applyNumberFormat="1" applyFont="1" applyFill="1" applyBorder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166" fontId="0" fillId="0" borderId="68" xfId="0" applyNumberFormat="1" applyBorder="1" applyAlignment="1">
      <alignment horizontal="center" vertical="center"/>
    </xf>
    <xf numFmtId="166" fontId="28" fillId="23" borderId="13" xfId="0" applyNumberFormat="1" applyFont="1" applyFill="1" applyBorder="1" applyAlignment="1">
      <alignment horizontal="center"/>
    </xf>
    <xf numFmtId="166" fontId="28" fillId="23" borderId="14" xfId="0" applyNumberFormat="1" applyFont="1" applyFill="1" applyBorder="1" applyAlignment="1">
      <alignment horizontal="center"/>
    </xf>
    <xf numFmtId="166" fontId="28" fillId="23" borderId="60" xfId="0" applyNumberFormat="1" applyFont="1" applyFill="1" applyBorder="1" applyAlignment="1">
      <alignment horizontal="center"/>
    </xf>
    <xf numFmtId="0" fontId="4" fillId="6" borderId="44" xfId="0" applyFont="1" applyFill="1" applyBorder="1" applyAlignment="1">
      <alignment horizontal="center" vertical="center"/>
    </xf>
    <xf numFmtId="10" fontId="27" fillId="4" borderId="148" xfId="47" applyNumberFormat="1" applyFont="1" applyFill="1" applyBorder="1" applyAlignment="1">
      <alignment horizontal="center"/>
    </xf>
    <xf numFmtId="10" fontId="27" fillId="4" borderId="84" xfId="47" applyNumberFormat="1" applyFont="1" applyFill="1" applyBorder="1" applyAlignment="1">
      <alignment horizontal="center"/>
    </xf>
    <xf numFmtId="166" fontId="4" fillId="23" borderId="168" xfId="0" applyNumberFormat="1" applyFont="1" applyFill="1" applyBorder="1" applyAlignment="1">
      <alignment horizontal="center"/>
    </xf>
    <xf numFmtId="166" fontId="4" fillId="23" borderId="169" xfId="0" applyNumberFormat="1" applyFont="1" applyFill="1" applyBorder="1" applyAlignment="1">
      <alignment horizontal="center"/>
    </xf>
    <xf numFmtId="166" fontId="4" fillId="23" borderId="170" xfId="0" applyNumberFormat="1" applyFont="1" applyFill="1" applyBorder="1" applyAlignment="1">
      <alignment horizontal="center"/>
    </xf>
    <xf numFmtId="166" fontId="4" fillId="0" borderId="69" xfId="0" applyNumberFormat="1" applyFont="1" applyBorder="1" applyAlignment="1">
      <alignment horizontal="center" vertical="center"/>
    </xf>
    <xf numFmtId="166" fontId="4" fillId="0" borderId="67" xfId="0" applyNumberFormat="1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6" fontId="4" fillId="0" borderId="59" xfId="0" applyNumberFormat="1" applyFont="1" applyBorder="1" applyAlignment="1">
      <alignment horizontal="center" vertical="center"/>
    </xf>
    <xf numFmtId="166" fontId="0" fillId="0" borderId="152" xfId="0" applyNumberFormat="1" applyBorder="1" applyAlignment="1">
      <alignment horizontal="center"/>
    </xf>
    <xf numFmtId="166" fontId="0" fillId="0" borderId="164" xfId="0" applyNumberFormat="1" applyBorder="1" applyAlignment="1">
      <alignment horizontal="center"/>
    </xf>
    <xf numFmtId="166" fontId="4" fillId="0" borderId="48" xfId="0" applyNumberFormat="1" applyFont="1" applyBorder="1" applyAlignment="1">
      <alignment horizontal="center" vertical="center"/>
    </xf>
    <xf numFmtId="166" fontId="4" fillId="0" borderId="71" xfId="0" applyNumberFormat="1" applyFont="1" applyBorder="1" applyAlignment="1">
      <alignment horizontal="center" vertical="center"/>
    </xf>
    <xf numFmtId="166" fontId="4" fillId="0" borderId="48" xfId="0" applyNumberFormat="1" applyFont="1" applyBorder="1" applyAlignment="1">
      <alignment horizontal="center"/>
    </xf>
    <xf numFmtId="166" fontId="4" fillId="0" borderId="69" xfId="0" applyNumberFormat="1" applyFont="1" applyBorder="1" applyAlignment="1">
      <alignment horizontal="center"/>
    </xf>
    <xf numFmtId="166" fontId="4" fillId="0" borderId="67" xfId="0" applyNumberFormat="1" applyFont="1" applyBorder="1" applyAlignment="1">
      <alignment horizontal="center"/>
    </xf>
    <xf numFmtId="10" fontId="4" fillId="0" borderId="151" xfId="47" applyNumberFormat="1" applyFont="1" applyBorder="1" applyAlignment="1">
      <alignment horizontal="center"/>
    </xf>
    <xf numFmtId="10" fontId="4" fillId="0" borderId="152" xfId="47" applyNumberFormat="1" applyFont="1" applyBorder="1" applyAlignment="1">
      <alignment horizontal="center"/>
    </xf>
    <xf numFmtId="10" fontId="4" fillId="0" borderId="164" xfId="47" applyNumberFormat="1" applyFont="1" applyBorder="1" applyAlignment="1">
      <alignment horizontal="center"/>
    </xf>
    <xf numFmtId="0" fontId="4" fillId="6" borderId="52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46" xfId="0" applyFont="1" applyFill="1" applyBorder="1" applyAlignment="1">
      <alignment horizontal="center" vertical="center"/>
    </xf>
    <xf numFmtId="166" fontId="0" fillId="0" borderId="182" xfId="0" applyNumberFormat="1" applyBorder="1" applyAlignment="1">
      <alignment horizontal="center" vertical="center"/>
    </xf>
    <xf numFmtId="10" fontId="27" fillId="4" borderId="152" xfId="47" applyNumberFormat="1" applyFont="1" applyFill="1" applyBorder="1" applyAlignment="1">
      <alignment horizontal="center"/>
    </xf>
    <xf numFmtId="10" fontId="27" fillId="4" borderId="162" xfId="47" applyNumberFormat="1" applyFont="1" applyFill="1" applyBorder="1" applyAlignment="1">
      <alignment horizontal="center"/>
    </xf>
    <xf numFmtId="10" fontId="4" fillId="0" borderId="71" xfId="47" applyNumberFormat="1" applyFont="1" applyBorder="1" applyAlignment="1">
      <alignment horizontal="center"/>
    </xf>
    <xf numFmtId="10" fontId="4" fillId="0" borderId="11" xfId="47" applyNumberFormat="1" applyFont="1" applyBorder="1" applyAlignment="1">
      <alignment horizontal="center"/>
    </xf>
    <xf numFmtId="10" fontId="4" fillId="0" borderId="59" xfId="47" applyNumberFormat="1" applyFont="1" applyBorder="1" applyAlignment="1">
      <alignment horizontal="center"/>
    </xf>
    <xf numFmtId="166" fontId="28" fillId="14" borderId="43" xfId="0" applyNumberFormat="1" applyFont="1" applyFill="1" applyBorder="1" applyAlignment="1">
      <alignment horizontal="left" vertical="center"/>
    </xf>
    <xf numFmtId="166" fontId="28" fillId="14" borderId="44" xfId="0" applyNumberFormat="1" applyFont="1" applyFill="1" applyBorder="1" applyAlignment="1">
      <alignment horizontal="left" vertical="center"/>
    </xf>
    <xf numFmtId="166" fontId="28" fillId="14" borderId="53" xfId="0" applyNumberFormat="1" applyFont="1" applyFill="1" applyBorder="1" applyAlignment="1">
      <alignment horizontal="left" vertical="center"/>
    </xf>
    <xf numFmtId="166" fontId="28" fillId="14" borderId="43" xfId="0" applyNumberFormat="1" applyFont="1" applyFill="1" applyBorder="1" applyAlignment="1">
      <alignment horizontal="left" vertical="center" wrapText="1"/>
    </xf>
    <xf numFmtId="166" fontId="28" fillId="14" borderId="44" xfId="0" applyNumberFormat="1" applyFont="1" applyFill="1" applyBorder="1" applyAlignment="1">
      <alignment horizontal="left" vertical="center" wrapText="1"/>
    </xf>
    <xf numFmtId="166" fontId="28" fillId="14" borderId="53" xfId="0" applyNumberFormat="1" applyFont="1" applyFill="1" applyBorder="1" applyAlignment="1">
      <alignment horizontal="left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166" fontId="4" fillId="0" borderId="52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0" borderId="153" xfId="0" applyNumberFormat="1" applyFont="1" applyBorder="1" applyAlignment="1">
      <alignment horizontal="center" vertical="center"/>
    </xf>
    <xf numFmtId="166" fontId="4" fillId="0" borderId="151" xfId="0" applyNumberFormat="1" applyFont="1" applyBorder="1" applyAlignment="1">
      <alignment horizontal="center" vertical="center"/>
    </xf>
    <xf numFmtId="166" fontId="4" fillId="0" borderId="152" xfId="0" applyNumberFormat="1" applyFont="1" applyBorder="1" applyAlignment="1">
      <alignment horizontal="center" vertical="center"/>
    </xf>
    <xf numFmtId="166" fontId="4" fillId="0" borderId="154" xfId="0" applyNumberFormat="1" applyFont="1" applyBorder="1" applyAlignment="1">
      <alignment horizontal="center" vertical="center"/>
    </xf>
    <xf numFmtId="3" fontId="25" fillId="4" borderId="83" xfId="47" applyNumberFormat="1" applyFont="1" applyFill="1" applyBorder="1" applyAlignment="1">
      <alignment horizontal="center"/>
    </xf>
    <xf numFmtId="3" fontId="25" fillId="4" borderId="148" xfId="47" applyNumberFormat="1" applyFont="1" applyFill="1" applyBorder="1" applyAlignment="1">
      <alignment horizontal="center"/>
    </xf>
    <xf numFmtId="3" fontId="25" fillId="4" borderId="84" xfId="47" applyNumberFormat="1" applyFont="1" applyFill="1" applyBorder="1" applyAlignment="1">
      <alignment horizontal="center"/>
    </xf>
    <xf numFmtId="166" fontId="64" fillId="18" borderId="52" xfId="0" applyNumberFormat="1" applyFont="1" applyFill="1" applyBorder="1" applyAlignment="1">
      <alignment horizontal="center"/>
    </xf>
    <xf numFmtId="166" fontId="64" fillId="18" borderId="0" xfId="0" applyNumberFormat="1" applyFont="1" applyFill="1" applyAlignment="1">
      <alignment horizontal="center"/>
    </xf>
    <xf numFmtId="0" fontId="28" fillId="26" borderId="62" xfId="0" applyFont="1" applyFill="1" applyBorder="1" applyAlignment="1">
      <alignment horizontal="center" vertical="center" wrapText="1"/>
    </xf>
    <xf numFmtId="0" fontId="28" fillId="26" borderId="64" xfId="0" applyFont="1" applyFill="1" applyBorder="1" applyAlignment="1">
      <alignment horizontal="center" vertical="center" wrapText="1"/>
    </xf>
    <xf numFmtId="166" fontId="28" fillId="2" borderId="87" xfId="0" applyNumberFormat="1" applyFont="1" applyFill="1" applyBorder="1" applyAlignment="1">
      <alignment horizontal="center" vertical="center" wrapText="1"/>
    </xf>
    <xf numFmtId="166" fontId="28" fillId="2" borderId="30" xfId="0" applyNumberFormat="1" applyFont="1" applyFill="1" applyBorder="1" applyAlignment="1">
      <alignment horizontal="center" vertical="center" wrapText="1"/>
    </xf>
    <xf numFmtId="166" fontId="53" fillId="37" borderId="0" xfId="0" applyNumberFormat="1" applyFont="1" applyFill="1" applyAlignment="1">
      <alignment horizontal="center"/>
    </xf>
    <xf numFmtId="4" fontId="25" fillId="4" borderId="83" xfId="47" applyNumberFormat="1" applyFont="1" applyFill="1" applyBorder="1" applyAlignment="1">
      <alignment horizontal="center"/>
    </xf>
    <xf numFmtId="4" fontId="25" fillId="4" borderId="148" xfId="47" applyNumberFormat="1" applyFont="1" applyFill="1" applyBorder="1" applyAlignment="1">
      <alignment horizontal="center"/>
    </xf>
    <xf numFmtId="4" fontId="25" fillId="4" borderId="84" xfId="47" applyNumberFormat="1" applyFont="1" applyFill="1" applyBorder="1" applyAlignment="1">
      <alignment horizontal="center"/>
    </xf>
    <xf numFmtId="166" fontId="31" fillId="4" borderId="43" xfId="0" applyNumberFormat="1" applyFont="1" applyFill="1" applyBorder="1" applyAlignment="1">
      <alignment horizontal="left" vertical="center" wrapText="1"/>
    </xf>
    <xf numFmtId="166" fontId="31" fillId="4" borderId="53" xfId="0" applyNumberFormat="1" applyFont="1" applyFill="1" applyBorder="1" applyAlignment="1">
      <alignment horizontal="left" vertical="center" wrapText="1"/>
    </xf>
    <xf numFmtId="166" fontId="28" fillId="14" borderId="43" xfId="0" applyNumberFormat="1" applyFont="1" applyFill="1" applyBorder="1" applyAlignment="1">
      <alignment horizontal="center" vertical="center" wrapText="1"/>
    </xf>
    <xf numFmtId="166" fontId="28" fillId="14" borderId="53" xfId="0" applyNumberFormat="1" applyFont="1" applyFill="1" applyBorder="1" applyAlignment="1">
      <alignment horizontal="center" vertical="center" wrapText="1"/>
    </xf>
    <xf numFmtId="166" fontId="31" fillId="0" borderId="43" xfId="0" applyNumberFormat="1" applyFont="1" applyBorder="1" applyAlignment="1">
      <alignment horizontal="left" vertical="center" wrapText="1"/>
    </xf>
    <xf numFmtId="166" fontId="31" fillId="0" borderId="53" xfId="0" applyNumberFormat="1" applyFont="1" applyBorder="1" applyAlignment="1">
      <alignment horizontal="left" vertical="center" wrapText="1"/>
    </xf>
    <xf numFmtId="166" fontId="4" fillId="23" borderId="11" xfId="0" applyNumberFormat="1" applyFont="1" applyFill="1" applyBorder="1" applyAlignment="1">
      <alignment horizontal="center"/>
    </xf>
    <xf numFmtId="166" fontId="4" fillId="23" borderId="59" xfId="0" applyNumberFormat="1" applyFont="1" applyFill="1" applyBorder="1" applyAlignment="1">
      <alignment horizontal="center"/>
    </xf>
    <xf numFmtId="0" fontId="89" fillId="29" borderId="14" xfId="0" applyFont="1" applyFill="1" applyBorder="1" applyAlignment="1">
      <alignment horizontal="left"/>
    </xf>
    <xf numFmtId="0" fontId="89" fillId="29" borderId="60" xfId="0" applyFont="1" applyFill="1" applyBorder="1" applyAlignment="1">
      <alignment horizontal="left"/>
    </xf>
    <xf numFmtId="0" fontId="77" fillId="28" borderId="14" xfId="0" applyFont="1" applyFill="1" applyBorder="1" applyAlignment="1">
      <alignment horizontal="center"/>
    </xf>
    <xf numFmtId="0" fontId="77" fillId="28" borderId="60" xfId="0" applyFont="1" applyFill="1" applyBorder="1" applyAlignment="1">
      <alignment horizontal="center"/>
    </xf>
    <xf numFmtId="3" fontId="64" fillId="24" borderId="35" xfId="0" applyNumberFormat="1" applyFont="1" applyFill="1" applyBorder="1" applyAlignment="1">
      <alignment horizontal="center"/>
    </xf>
    <xf numFmtId="3" fontId="64" fillId="24" borderId="14" xfId="0" applyNumberFormat="1" applyFont="1" applyFill="1" applyBorder="1" applyAlignment="1">
      <alignment horizontal="center"/>
    </xf>
    <xf numFmtId="3" fontId="64" fillId="24" borderId="60" xfId="0" applyNumberFormat="1" applyFont="1" applyFill="1" applyBorder="1" applyAlignment="1">
      <alignment horizontal="center"/>
    </xf>
    <xf numFmtId="3" fontId="64" fillId="18" borderId="13" xfId="0" applyNumberFormat="1" applyFont="1" applyFill="1" applyBorder="1" applyAlignment="1">
      <alignment horizontal="center"/>
    </xf>
    <xf numFmtId="3" fontId="64" fillId="18" borderId="14" xfId="0" applyNumberFormat="1" applyFont="1" applyFill="1" applyBorder="1" applyAlignment="1">
      <alignment horizontal="center"/>
    </xf>
    <xf numFmtId="3" fontId="64" fillId="18" borderId="60" xfId="0" applyNumberFormat="1" applyFont="1" applyFill="1" applyBorder="1" applyAlignment="1">
      <alignment horizontal="center"/>
    </xf>
    <xf numFmtId="3" fontId="54" fillId="5" borderId="35" xfId="0" applyNumberFormat="1" applyFont="1" applyFill="1" applyBorder="1" applyAlignment="1">
      <alignment horizontal="center"/>
    </xf>
    <xf numFmtId="3" fontId="54" fillId="5" borderId="14" xfId="0" applyNumberFormat="1" applyFont="1" applyFill="1" applyBorder="1" applyAlignment="1">
      <alignment horizontal="center"/>
    </xf>
    <xf numFmtId="3" fontId="54" fillId="5" borderId="60" xfId="0" applyNumberFormat="1" applyFont="1" applyFill="1" applyBorder="1" applyAlignment="1">
      <alignment horizontal="center"/>
    </xf>
    <xf numFmtId="3" fontId="54" fillId="26" borderId="35" xfId="0" applyNumberFormat="1" applyFont="1" applyFill="1" applyBorder="1" applyAlignment="1">
      <alignment horizontal="center"/>
    </xf>
    <xf numFmtId="3" fontId="54" fillId="26" borderId="14" xfId="0" applyNumberFormat="1" applyFont="1" applyFill="1" applyBorder="1" applyAlignment="1">
      <alignment horizontal="center"/>
    </xf>
    <xf numFmtId="3" fontId="54" fillId="26" borderId="60" xfId="0" applyNumberFormat="1" applyFont="1" applyFill="1" applyBorder="1" applyAlignment="1">
      <alignment horizontal="center"/>
    </xf>
    <xf numFmtId="0" fontId="77" fillId="19" borderId="14" xfId="0" applyFont="1" applyFill="1" applyBorder="1" applyAlignment="1">
      <alignment horizontal="center"/>
    </xf>
    <xf numFmtId="0" fontId="77" fillId="19" borderId="60" xfId="0" applyFont="1" applyFill="1" applyBorder="1" applyAlignment="1">
      <alignment horizontal="center"/>
    </xf>
    <xf numFmtId="3" fontId="54" fillId="5" borderId="13" xfId="0" applyNumberFormat="1" applyFont="1" applyFill="1" applyBorder="1" applyAlignment="1">
      <alignment horizontal="center"/>
    </xf>
    <xf numFmtId="0" fontId="82" fillId="0" borderId="0" xfId="0" applyFont="1" applyAlignment="1">
      <alignment horizontal="right"/>
    </xf>
    <xf numFmtId="3" fontId="32" fillId="16" borderId="50" xfId="0" applyNumberFormat="1" applyFont="1" applyFill="1" applyBorder="1" applyAlignment="1">
      <alignment horizontal="center"/>
    </xf>
    <xf numFmtId="3" fontId="32" fillId="16" borderId="64" xfId="0" applyNumberFormat="1" applyFont="1" applyFill="1" applyBorder="1" applyAlignment="1">
      <alignment horizontal="center"/>
    </xf>
    <xf numFmtId="3" fontId="32" fillId="23" borderId="50" xfId="0" applyNumberFormat="1" applyFont="1" applyFill="1" applyBorder="1" applyAlignment="1">
      <alignment horizontal="center"/>
    </xf>
    <xf numFmtId="3" fontId="32" fillId="23" borderId="64" xfId="0" applyNumberFormat="1" applyFont="1" applyFill="1" applyBorder="1" applyAlignment="1">
      <alignment horizontal="center"/>
    </xf>
    <xf numFmtId="3" fontId="31" fillId="25" borderId="50" xfId="0" applyNumberFormat="1" applyFont="1" applyFill="1" applyBorder="1" applyAlignment="1">
      <alignment horizontal="center"/>
    </xf>
    <xf numFmtId="3" fontId="31" fillId="25" borderId="64" xfId="0" applyNumberFormat="1" applyFont="1" applyFill="1" applyBorder="1" applyAlignment="1">
      <alignment horizontal="center"/>
    </xf>
    <xf numFmtId="3" fontId="34" fillId="16" borderId="13" xfId="0" applyNumberFormat="1" applyFont="1" applyFill="1" applyBorder="1" applyAlignment="1">
      <alignment horizontal="center"/>
    </xf>
    <xf numFmtId="3" fontId="34" fillId="16" borderId="60" xfId="0" applyNumberFormat="1" applyFont="1" applyFill="1" applyBorder="1" applyAlignment="1">
      <alignment horizontal="center"/>
    </xf>
    <xf numFmtId="3" fontId="34" fillId="23" borderId="13" xfId="0" applyNumberFormat="1" applyFont="1" applyFill="1" applyBorder="1" applyAlignment="1">
      <alignment horizontal="center"/>
    </xf>
    <xf numFmtId="3" fontId="34" fillId="23" borderId="60" xfId="0" applyNumberFormat="1" applyFont="1" applyFill="1" applyBorder="1" applyAlignment="1">
      <alignment horizontal="center"/>
    </xf>
    <xf numFmtId="3" fontId="28" fillId="25" borderId="13" xfId="0" applyNumberFormat="1" applyFont="1" applyFill="1" applyBorder="1" applyAlignment="1">
      <alignment horizontal="center"/>
    </xf>
    <xf numFmtId="3" fontId="28" fillId="25" borderId="60" xfId="0" applyNumberFormat="1" applyFont="1" applyFill="1" applyBorder="1" applyAlignment="1">
      <alignment horizontal="center"/>
    </xf>
    <xf numFmtId="3" fontId="32" fillId="16" borderId="49" xfId="0" applyNumberFormat="1" applyFont="1" applyFill="1" applyBorder="1" applyAlignment="1">
      <alignment horizontal="center"/>
    </xf>
    <xf numFmtId="3" fontId="32" fillId="16" borderId="63" xfId="0" applyNumberFormat="1" applyFont="1" applyFill="1" applyBorder="1" applyAlignment="1">
      <alignment horizontal="center"/>
    </xf>
    <xf numFmtId="3" fontId="32" fillId="23" borderId="49" xfId="0" applyNumberFormat="1" applyFont="1" applyFill="1" applyBorder="1" applyAlignment="1">
      <alignment horizontal="center"/>
    </xf>
    <xf numFmtId="3" fontId="32" fillId="23" borderId="63" xfId="0" applyNumberFormat="1" applyFont="1" applyFill="1" applyBorder="1" applyAlignment="1">
      <alignment horizontal="center"/>
    </xf>
    <xf numFmtId="3" fontId="31" fillId="25" borderId="49" xfId="0" applyNumberFormat="1" applyFont="1" applyFill="1" applyBorder="1" applyAlignment="1">
      <alignment horizontal="center"/>
    </xf>
    <xf numFmtId="3" fontId="31" fillId="25" borderId="63" xfId="0" applyNumberFormat="1" applyFont="1" applyFill="1" applyBorder="1" applyAlignment="1">
      <alignment horizontal="center"/>
    </xf>
    <xf numFmtId="3" fontId="32" fillId="16" borderId="73" xfId="0" applyNumberFormat="1" applyFont="1" applyFill="1" applyBorder="1" applyAlignment="1">
      <alignment horizontal="center"/>
    </xf>
    <xf numFmtId="3" fontId="32" fillId="16" borderId="62" xfId="0" applyNumberFormat="1" applyFont="1" applyFill="1" applyBorder="1" applyAlignment="1">
      <alignment horizontal="center"/>
    </xf>
    <xf numFmtId="3" fontId="32" fillId="23" borderId="73" xfId="0" applyNumberFormat="1" applyFont="1" applyFill="1" applyBorder="1" applyAlignment="1">
      <alignment horizontal="center"/>
    </xf>
    <xf numFmtId="3" fontId="32" fillId="23" borderId="62" xfId="0" applyNumberFormat="1" applyFont="1" applyFill="1" applyBorder="1" applyAlignment="1">
      <alignment horizontal="center"/>
    </xf>
    <xf numFmtId="3" fontId="31" fillId="25" borderId="73" xfId="0" applyNumberFormat="1" applyFont="1" applyFill="1" applyBorder="1" applyAlignment="1">
      <alignment horizontal="center"/>
    </xf>
    <xf numFmtId="3" fontId="31" fillId="25" borderId="62" xfId="0" applyNumberFormat="1" applyFont="1" applyFill="1" applyBorder="1" applyAlignment="1">
      <alignment horizontal="center"/>
    </xf>
    <xf numFmtId="3" fontId="40" fillId="26" borderId="71" xfId="0" applyNumberFormat="1" applyFont="1" applyFill="1" applyBorder="1" applyAlignment="1">
      <alignment horizontal="center"/>
    </xf>
    <xf numFmtId="3" fontId="40" fillId="26" borderId="59" xfId="0" applyNumberFormat="1" applyFont="1" applyFill="1" applyBorder="1" applyAlignment="1">
      <alignment horizontal="center"/>
    </xf>
    <xf numFmtId="3" fontId="38" fillId="16" borderId="13" xfId="0" applyNumberFormat="1" applyFont="1" applyFill="1" applyBorder="1" applyAlignment="1">
      <alignment horizontal="center"/>
    </xf>
    <xf numFmtId="3" fontId="38" fillId="16" borderId="60" xfId="0" applyNumberFormat="1" applyFont="1" applyFill="1" applyBorder="1" applyAlignment="1">
      <alignment horizontal="center"/>
    </xf>
    <xf numFmtId="3" fontId="38" fillId="23" borderId="13" xfId="0" applyNumberFormat="1" applyFont="1" applyFill="1" applyBorder="1" applyAlignment="1">
      <alignment horizontal="center"/>
    </xf>
    <xf numFmtId="3" fontId="38" fillId="23" borderId="60" xfId="0" applyNumberFormat="1" applyFont="1" applyFill="1" applyBorder="1" applyAlignment="1">
      <alignment horizontal="center"/>
    </xf>
    <xf numFmtId="3" fontId="40" fillId="25" borderId="13" xfId="0" applyNumberFormat="1" applyFont="1" applyFill="1" applyBorder="1" applyAlignment="1">
      <alignment horizontal="center"/>
    </xf>
    <xf numFmtId="3" fontId="40" fillId="25" borderId="60" xfId="0" applyNumberFormat="1" applyFont="1" applyFill="1" applyBorder="1" applyAlignment="1">
      <alignment horizontal="center"/>
    </xf>
    <xf numFmtId="0" fontId="28" fillId="26" borderId="13" xfId="0" applyFont="1" applyFill="1" applyBorder="1" applyAlignment="1">
      <alignment horizontal="center"/>
    </xf>
    <xf numFmtId="0" fontId="28" fillId="26" borderId="60" xfId="0" applyFont="1" applyFill="1" applyBorder="1" applyAlignment="1">
      <alignment horizontal="center"/>
    </xf>
    <xf numFmtId="0" fontId="28" fillId="26" borderId="13" xfId="0" applyFont="1" applyFill="1" applyBorder="1" applyAlignment="1">
      <alignment horizontal="center" wrapText="1"/>
    </xf>
    <xf numFmtId="0" fontId="28" fillId="26" borderId="60" xfId="0" applyFont="1" applyFill="1" applyBorder="1" applyAlignment="1">
      <alignment horizontal="center" wrapText="1"/>
    </xf>
    <xf numFmtId="3" fontId="38" fillId="26" borderId="71" xfId="0" applyNumberFormat="1" applyFont="1" applyFill="1" applyBorder="1" applyAlignment="1">
      <alignment horizontal="center"/>
    </xf>
    <xf numFmtId="3" fontId="38" fillId="26" borderId="59" xfId="0" applyNumberFormat="1" applyFont="1" applyFill="1" applyBorder="1" applyAlignment="1">
      <alignment horizontal="center"/>
    </xf>
    <xf numFmtId="3" fontId="39" fillId="26" borderId="71" xfId="0" applyNumberFormat="1" applyFont="1" applyFill="1" applyBorder="1" applyAlignment="1">
      <alignment horizontal="center"/>
    </xf>
    <xf numFmtId="3" fontId="39" fillId="26" borderId="59" xfId="0" applyNumberFormat="1" applyFont="1" applyFill="1" applyBorder="1" applyAlignment="1">
      <alignment horizontal="center"/>
    </xf>
    <xf numFmtId="4" fontId="0" fillId="0" borderId="73" xfId="0" applyNumberFormat="1" applyBorder="1" applyAlignment="1">
      <alignment horizontal="center"/>
    </xf>
    <xf numFmtId="4" fontId="0" fillId="0" borderId="62" xfId="0" applyNumberForma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4" fontId="4" fillId="0" borderId="60" xfId="0" applyNumberFormat="1" applyFont="1" applyBorder="1" applyAlignment="1">
      <alignment horizontal="center"/>
    </xf>
    <xf numFmtId="4" fontId="76" fillId="0" borderId="173" xfId="0" applyNumberFormat="1" applyFont="1" applyBorder="1" applyAlignment="1">
      <alignment horizontal="center" vertical="center"/>
    </xf>
    <xf numFmtId="4" fontId="76" fillId="0" borderId="174" xfId="0" applyNumberFormat="1" applyFont="1" applyBorder="1" applyAlignment="1">
      <alignment horizontal="center" vertical="center"/>
    </xf>
    <xf numFmtId="4" fontId="76" fillId="0" borderId="175" xfId="0" applyNumberFormat="1" applyFont="1" applyBorder="1" applyAlignment="1">
      <alignment horizontal="center" vertical="center"/>
    </xf>
    <xf numFmtId="4" fontId="76" fillId="0" borderId="158" xfId="0" applyNumberFormat="1" applyFont="1" applyBorder="1" applyAlignment="1">
      <alignment horizontal="center" vertical="center"/>
    </xf>
    <xf numFmtId="4" fontId="76" fillId="0" borderId="159" xfId="0" applyNumberFormat="1" applyFont="1" applyBorder="1" applyAlignment="1">
      <alignment horizontal="center" vertical="center"/>
    </xf>
    <xf numFmtId="4" fontId="76" fillId="0" borderId="160" xfId="0" applyNumberFormat="1" applyFont="1" applyBorder="1" applyAlignment="1">
      <alignment horizontal="center" vertical="center"/>
    </xf>
    <xf numFmtId="4" fontId="28" fillId="2" borderId="57" xfId="0" applyNumberFormat="1" applyFont="1" applyFill="1" applyBorder="1" applyAlignment="1">
      <alignment horizontal="center"/>
    </xf>
    <xf numFmtId="4" fontId="28" fillId="2" borderId="62" xfId="0" applyNumberFormat="1" applyFont="1" applyFill="1" applyBorder="1" applyAlignment="1">
      <alignment horizontal="center"/>
    </xf>
    <xf numFmtId="4" fontId="64" fillId="23" borderId="173" xfId="0" applyNumberFormat="1" applyFont="1" applyFill="1" applyBorder="1" applyAlignment="1">
      <alignment horizontal="center" vertical="center"/>
    </xf>
    <xf numFmtId="4" fontId="64" fillId="23" borderId="174" xfId="0" applyNumberFormat="1" applyFont="1" applyFill="1" applyBorder="1" applyAlignment="1">
      <alignment horizontal="center" vertical="center"/>
    </xf>
    <xf numFmtId="4" fontId="64" fillId="23" borderId="175" xfId="0" applyNumberFormat="1" applyFont="1" applyFill="1" applyBorder="1" applyAlignment="1">
      <alignment horizontal="center" vertical="center"/>
    </xf>
    <xf numFmtId="4" fontId="64" fillId="23" borderId="158" xfId="0" applyNumberFormat="1" applyFont="1" applyFill="1" applyBorder="1" applyAlignment="1">
      <alignment horizontal="center" vertical="center"/>
    </xf>
    <xf numFmtId="4" fontId="64" fillId="23" borderId="159" xfId="0" applyNumberFormat="1" applyFont="1" applyFill="1" applyBorder="1" applyAlignment="1">
      <alignment horizontal="center" vertical="center"/>
    </xf>
    <xf numFmtId="4" fontId="64" fillId="23" borderId="160" xfId="0" applyNumberFormat="1" applyFont="1" applyFill="1" applyBorder="1" applyAlignment="1">
      <alignment horizontal="center" vertical="center"/>
    </xf>
    <xf numFmtId="4" fontId="28" fillId="2" borderId="41" xfId="0" applyNumberFormat="1" applyFont="1" applyFill="1" applyBorder="1" applyAlignment="1">
      <alignment horizontal="center" vertical="center" wrapText="1"/>
    </xf>
    <xf numFmtId="4" fontId="28" fillId="2" borderId="64" xfId="0" applyNumberFormat="1" applyFont="1" applyFill="1" applyBorder="1" applyAlignment="1">
      <alignment horizontal="center" vertical="center" wrapText="1"/>
    </xf>
    <xf numFmtId="166" fontId="53" fillId="26" borderId="13" xfId="0" applyNumberFormat="1" applyFont="1" applyFill="1" applyBorder="1" applyAlignment="1">
      <alignment horizontal="center" vertical="center"/>
    </xf>
    <xf numFmtId="166" fontId="53" fillId="26" borderId="14" xfId="0" applyNumberFormat="1" applyFont="1" applyFill="1" applyBorder="1" applyAlignment="1">
      <alignment horizontal="center" vertical="center"/>
    </xf>
    <xf numFmtId="166" fontId="53" fillId="26" borderId="60" xfId="0" applyNumberFormat="1" applyFont="1" applyFill="1" applyBorder="1" applyAlignment="1">
      <alignment horizontal="center" vertical="center"/>
    </xf>
    <xf numFmtId="0" fontId="4" fillId="26" borderId="60" xfId="0" applyFont="1" applyFill="1" applyBorder="1" applyAlignment="1">
      <alignment horizontal="center"/>
    </xf>
    <xf numFmtId="0" fontId="4" fillId="26" borderId="7" xfId="0" applyFont="1" applyFill="1" applyBorder="1" applyAlignment="1">
      <alignment horizontal="center"/>
    </xf>
    <xf numFmtId="166" fontId="55" fillId="18" borderId="52" xfId="0" applyNumberFormat="1" applyFont="1" applyFill="1" applyBorder="1" applyAlignment="1">
      <alignment horizontal="center"/>
    </xf>
    <xf numFmtId="166" fontId="55" fillId="18" borderId="0" xfId="0" applyNumberFormat="1" applyFont="1" applyFill="1" applyAlignment="1">
      <alignment horizontal="center"/>
    </xf>
  </cellXfs>
  <cellStyles count="48">
    <cellStyle name="_PERSONAL" xfId="19" xr:uid="{00000000-0005-0000-0000-000000000000}"/>
    <cellStyle name="_PERSONAL_1" xfId="20" xr:uid="{00000000-0005-0000-0000-000001000000}"/>
    <cellStyle name="1 000 Kč_IKEA - VARIABL_3" xfId="21" xr:uid="{00000000-0005-0000-0000-000002000000}"/>
    <cellStyle name="1000" xfId="22" xr:uid="{00000000-0005-0000-0000-000003000000}"/>
    <cellStyle name="čá`ky [0]" xfId="23" xr:uid="{00000000-0005-0000-0000-000004000000}"/>
    <cellStyle name="Čárka" xfId="9" builtinId="3"/>
    <cellStyle name="čárky [0]_IKEA - VARIABL_3" xfId="24" xr:uid="{00000000-0005-0000-0000-000006000000}"/>
    <cellStyle name="čárky 2" xfId="1" xr:uid="{00000000-0005-0000-0000-000007000000}"/>
    <cellStyle name="Date" xfId="25" xr:uid="{00000000-0005-0000-0000-000008000000}"/>
    <cellStyle name="Dziesiętny [0]_laroux" xfId="26" xr:uid="{00000000-0005-0000-0000-000009000000}"/>
    <cellStyle name="Dziesiętny_laroux" xfId="27" xr:uid="{00000000-0005-0000-0000-00000A000000}"/>
    <cellStyle name="F2" xfId="28" xr:uid="{00000000-0005-0000-0000-00000B000000}"/>
    <cellStyle name="F3" xfId="29" xr:uid="{00000000-0005-0000-0000-00000C000000}"/>
    <cellStyle name="F4" xfId="30" xr:uid="{00000000-0005-0000-0000-00000D000000}"/>
    <cellStyle name="F5" xfId="31" xr:uid="{00000000-0005-0000-0000-00000E000000}"/>
    <cellStyle name="F6" xfId="32" xr:uid="{00000000-0005-0000-0000-00000F000000}"/>
    <cellStyle name="F7" xfId="33" xr:uid="{00000000-0005-0000-0000-000010000000}"/>
    <cellStyle name="F8" xfId="34" xr:uid="{00000000-0005-0000-0000-000011000000}"/>
    <cellStyle name="Fixed" xfId="35" xr:uid="{00000000-0005-0000-0000-000012000000}"/>
    <cellStyle name="Heading 3 2" xfId="13" xr:uid="{00000000-0005-0000-0000-000013000000}"/>
    <cellStyle name="HEADING1" xfId="36" xr:uid="{00000000-0005-0000-0000-000014000000}"/>
    <cellStyle name="HEADING2" xfId="37" xr:uid="{00000000-0005-0000-0000-000015000000}"/>
    <cellStyle name="Měna" xfId="46" builtinId="4"/>
    <cellStyle name="Měny bez des. míst 2" xfId="15" xr:uid="{00000000-0005-0000-0000-000017000000}"/>
    <cellStyle name="Nejvyšší pravidlo" xfId="11" xr:uid="{00000000-0005-0000-0000-000018000000}"/>
    <cellStyle name="Nejvyšší pravidlo 2" xfId="16" xr:uid="{00000000-0005-0000-0000-000019000000}"/>
    <cellStyle name="Normal 2" xfId="4" xr:uid="{00000000-0005-0000-0000-00001A000000}"/>
    <cellStyle name="Normal 2 2" xfId="10" xr:uid="{00000000-0005-0000-0000-00001B000000}"/>
    <cellStyle name="Normal 3" xfId="6" xr:uid="{00000000-0005-0000-0000-00001C000000}"/>
    <cellStyle name="Normal 4" xfId="7" xr:uid="{00000000-0005-0000-0000-00001D000000}"/>
    <cellStyle name="Normal 5" xfId="12" xr:uid="{00000000-0005-0000-0000-00001E000000}"/>
    <cellStyle name="Normální" xfId="0" builtinId="0"/>
    <cellStyle name="normální 2" xfId="2" xr:uid="{00000000-0005-0000-0000-000020000000}"/>
    <cellStyle name="normální 2 2" xfId="3" xr:uid="{00000000-0005-0000-0000-000021000000}"/>
    <cellStyle name="Normální 2 3" xfId="14" xr:uid="{00000000-0005-0000-0000-000022000000}"/>
    <cellStyle name="Normální 3" xfId="18" xr:uid="{00000000-0005-0000-0000-000023000000}"/>
    <cellStyle name="Normální 4" xfId="43" xr:uid="{00000000-0005-0000-0000-000024000000}"/>
    <cellStyle name="Normální 5" xfId="44" xr:uid="{00000000-0005-0000-0000-000025000000}"/>
    <cellStyle name="Normální 6" xfId="45" xr:uid="{00000000-0005-0000-0000-000026000000}"/>
    <cellStyle name="Normalny_laroux" xfId="38" xr:uid="{00000000-0005-0000-0000-000027000000}"/>
    <cellStyle name="Percent 2" xfId="5" xr:uid="{00000000-0005-0000-0000-000028000000}"/>
    <cellStyle name="Procenta" xfId="47" builtinId="5"/>
    <cellStyle name="Sheet Title" xfId="17" xr:uid="{00000000-0005-0000-0000-00002A000000}"/>
    <cellStyle name="Sledovaný hypertextový odkaz" xfId="8" xr:uid="{00000000-0005-0000-0000-00002B000000}"/>
    <cellStyle name="Styl 1" xfId="39" xr:uid="{00000000-0005-0000-0000-00002C000000}"/>
    <cellStyle name="Total" xfId="40" xr:uid="{00000000-0005-0000-0000-00002D000000}"/>
    <cellStyle name="Walutowy [0]_laroux" xfId="41" xr:uid="{00000000-0005-0000-0000-00002E000000}"/>
    <cellStyle name="Walutowy_laroux" xfId="42" xr:uid="{00000000-0005-0000-0000-00002F000000}"/>
  </cellStyles>
  <dxfs count="10">
    <dxf>
      <font>
        <b val="0"/>
        <i val="0"/>
      </font>
    </dxf>
    <dxf>
      <fill>
        <patternFill>
          <bgColor theme="0"/>
        </patternFill>
      </fill>
    </dxf>
    <dxf>
      <font>
        <b/>
        <i val="0"/>
        <color theme="4"/>
      </font>
    </dxf>
    <dxf>
      <font>
        <color theme="0"/>
      </font>
      <fill>
        <patternFill>
          <bgColor theme="4"/>
        </patternFill>
      </fill>
    </dxf>
    <dxf>
      <font>
        <color theme="1" tint="0.24994659260841701"/>
      </font>
      <border diagonalUp="0" diagonalDown="0">
        <left/>
        <right/>
        <top/>
        <bottom style="thin">
          <color theme="1" tint="0.499984740745262"/>
        </bottom>
        <vertical/>
        <horizontal style="hair">
          <color theme="1" tint="0.499984740745262"/>
        </horizontal>
      </border>
    </dxf>
    <dxf>
      <font>
        <b val="0"/>
        <i val="0"/>
      </font>
    </dxf>
    <dxf>
      <fill>
        <patternFill>
          <bgColor theme="0"/>
        </patternFill>
      </fill>
    </dxf>
    <dxf>
      <font>
        <b/>
        <i val="0"/>
        <color theme="4"/>
      </font>
    </dxf>
    <dxf>
      <font>
        <color theme="0"/>
      </font>
      <fill>
        <patternFill>
          <bgColor theme="4"/>
        </patternFill>
      </fill>
    </dxf>
    <dxf>
      <font>
        <color theme="1" tint="0.24994659260841701"/>
      </font>
      <border diagonalUp="0" diagonalDown="0">
        <left/>
        <right/>
        <top/>
        <bottom style="thin">
          <color theme="1" tint="0.499984740745262"/>
        </bottom>
        <vertical/>
        <horizontal style="hair">
          <color theme="1" tint="0.499984740745262"/>
        </horizontal>
      </border>
    </dxf>
  </dxfs>
  <tableStyles count="2" defaultTableStyle="TableStyleMedium9" defaultPivotStyle="PivotStyleLight16">
    <tableStyle name="Assets" pivot="0" count="5" xr9:uid="{00000000-0011-0000-FFFF-FFFF00000000}">
      <tableStyleElement type="wholeTable" dxfId="9"/>
      <tableStyleElement type="headerRow" dxfId="8"/>
      <tableStyleElement type="lastColumn" dxfId="7"/>
      <tableStyleElement type="secondRowStripe" dxfId="6"/>
      <tableStyleElement type="lastHeaderCell" dxfId="5"/>
    </tableStyle>
    <tableStyle name="Assets 2" pivot="0" count="5" xr9:uid="{00000000-0011-0000-FFFF-FFFF01000000}">
      <tableStyleElement type="wholeTable" dxfId="4"/>
      <tableStyleElement type="headerRow" dxfId="3"/>
      <tableStyleElement type="lastColumn" dxfId="2"/>
      <tableStyleElement type="secondRowStripe" dxfId="1"/>
      <tableStyleElement type="lastHeaderCell" dxfId="0"/>
    </tableStyle>
  </tableStyles>
  <colors>
    <mruColors>
      <color rgb="FF0000FF"/>
      <color rgb="FF0033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Provozní CF (rozdílová varianta)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'Plán cash flow'!$A$54</c:f>
              <c:strCache>
                <c:ptCount val="1"/>
                <c:pt idx="0">
                  <c:v>Příjmy (+)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'Plán cash flow'!$B$53:$K$53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'Plán cash flow'!$B$54:$K$54</c:f>
              <c:numCache>
                <c:formatCode>_("Kč"* #,##0.00_);_("Kč"* \(#,##0.00\);_("Kč"* "-"??_);_(@_)</c:formatCode>
                <c:ptCount val="10"/>
                <c:pt idx="0">
                  <c:v>1408863.2064166665</c:v>
                </c:pt>
                <c:pt idx="1">
                  <c:v>14849450</c:v>
                </c:pt>
                <c:pt idx="2">
                  <c:v>16199400</c:v>
                </c:pt>
                <c:pt idx="3">
                  <c:v>17549350</c:v>
                </c:pt>
                <c:pt idx="4">
                  <c:v>18899300</c:v>
                </c:pt>
                <c:pt idx="5">
                  <c:v>20249250</c:v>
                </c:pt>
                <c:pt idx="6">
                  <c:v>20654235</c:v>
                </c:pt>
                <c:pt idx="7">
                  <c:v>21067319.699999999</c:v>
                </c:pt>
                <c:pt idx="8">
                  <c:v>21488666.094000001</c:v>
                </c:pt>
                <c:pt idx="9">
                  <c:v>21918439.415880002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E-4584-A8EF-04D92368F067}"/>
            </c:ext>
          </c:extLst>
        </c:ser>
        <c:ser>
          <c:idx val="1"/>
          <c:order val="1"/>
          <c:tx>
            <c:strRef>
              <c:f>'Plán cash flow'!$A$55</c:f>
              <c:strCache>
                <c:ptCount val="1"/>
                <c:pt idx="0">
                  <c:v>Výdaje (-)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'Plán cash flow'!$B$53:$K$53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'Plán cash flow'!$B$55:$K$55</c:f>
              <c:numCache>
                <c:formatCode>_("Kč"* #,##0.00_);_("Kč"* \(#,##0.00\);_("Kč"* "-"??_);_(@_)</c:formatCode>
                <c:ptCount val="10"/>
                <c:pt idx="0">
                  <c:v>1408863.2064166665</c:v>
                </c:pt>
                <c:pt idx="1">
                  <c:v>14571455.500958333</c:v>
                </c:pt>
                <c:pt idx="2">
                  <c:v>14907220.548617916</c:v>
                </c:pt>
                <c:pt idx="3">
                  <c:v>15251324.401079074</c:v>
                </c:pt>
                <c:pt idx="4">
                  <c:v>15603982.904011065</c:v>
                </c:pt>
                <c:pt idx="5">
                  <c:v>15965423.866318533</c:v>
                </c:pt>
                <c:pt idx="6">
                  <c:v>16336779.03791292</c:v>
                </c:pt>
                <c:pt idx="7">
                  <c:v>16717123.763625752</c:v>
                </c:pt>
                <c:pt idx="8">
                  <c:v>17106686.245490126</c:v>
                </c:pt>
                <c:pt idx="9">
                  <c:v>17505700.705282621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6E-4584-A8EF-04D92368F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386112"/>
        <c:axId val="251637760"/>
      </c:barChart>
      <c:catAx>
        <c:axId val="2513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1637760"/>
        <c:crosses val="autoZero"/>
        <c:auto val="1"/>
        <c:lblAlgn val="ctr"/>
        <c:lblOffset val="100"/>
        <c:noMultiLvlLbl val="0"/>
      </c:catAx>
      <c:valAx>
        <c:axId val="25163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Kč&quot;* #,##0.00_);_(&quot;Kč&quot;* \(#,##0.00\);_(&quot;Kč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138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Hotovostní toky rozdílové</a:t>
            </a:r>
            <a:r>
              <a:rPr lang="cs-CZ" b="1" baseline="0"/>
              <a:t> varianty</a:t>
            </a:r>
            <a:endParaRPr lang="cs-CZ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'Finanční analýza'!$A$279:$B$279</c:f>
              <c:strCache>
                <c:ptCount val="2"/>
                <c:pt idx="0">
                  <c:v>Celkové investiční náklady (CF-)</c:v>
                </c:pt>
                <c:pt idx="1">
                  <c:v>Kč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'Finanční analýza'!$C$275:$L$275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'Finanční analýza'!$C$279:$L$279</c:f>
              <c:numCache>
                <c:formatCode>#,##0.00</c:formatCode>
                <c:ptCount val="10"/>
                <c:pt idx="0">
                  <c:v>13934208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1-4836-A9CF-20223B3DACCD}"/>
            </c:ext>
          </c:extLst>
        </c:ser>
        <c:ser>
          <c:idx val="1"/>
          <c:order val="1"/>
          <c:tx>
            <c:strRef>
              <c:f>'Finanční analýza'!$A$280:$B$280</c:f>
              <c:strCache>
                <c:ptCount val="2"/>
                <c:pt idx="0">
                  <c:v>Celkové provozní náklady (CF-)</c:v>
                </c:pt>
                <c:pt idx="1">
                  <c:v>Kč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'Finanční analýza'!$C$275:$L$275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'Finanční analýza'!$C$280:$L$280</c:f>
              <c:numCache>
                <c:formatCode>#,##0.00</c:formatCode>
                <c:ptCount val="10"/>
                <c:pt idx="0">
                  <c:v>1408863.2064166665</c:v>
                </c:pt>
                <c:pt idx="1">
                  <c:v>14571455.500958333</c:v>
                </c:pt>
                <c:pt idx="2">
                  <c:v>14907220.548617916</c:v>
                </c:pt>
                <c:pt idx="3">
                  <c:v>15251324.401079074</c:v>
                </c:pt>
                <c:pt idx="4">
                  <c:v>15603982.904011065</c:v>
                </c:pt>
                <c:pt idx="5">
                  <c:v>15965423.866318533</c:v>
                </c:pt>
                <c:pt idx="6">
                  <c:v>16336779.03791292</c:v>
                </c:pt>
                <c:pt idx="7">
                  <c:v>16717123.763625752</c:v>
                </c:pt>
                <c:pt idx="8">
                  <c:v>17106686.245490126</c:v>
                </c:pt>
                <c:pt idx="9">
                  <c:v>17505700.705282621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1-4836-A9CF-20223B3DACCD}"/>
            </c:ext>
          </c:extLst>
        </c:ser>
        <c:ser>
          <c:idx val="2"/>
          <c:order val="2"/>
          <c:tx>
            <c:strRef>
              <c:f>'Finanční analýza'!$A$281:$B$281</c:f>
              <c:strCache>
                <c:ptCount val="2"/>
                <c:pt idx="0">
                  <c:v>Celkové finanční náklady ostatní (CF-)</c:v>
                </c:pt>
                <c:pt idx="1">
                  <c:v>Kč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'Finanční analýza'!$C$275:$L$275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'Finanční analýza'!$C$281:$L$281</c:f>
              <c:numCache>
                <c:formatCode>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B1-4836-A9CF-20223B3DACCD}"/>
            </c:ext>
          </c:extLst>
        </c:ser>
        <c:ser>
          <c:idx val="3"/>
          <c:order val="3"/>
          <c:tx>
            <c:strRef>
              <c:f>'Finanční analýza'!$A$282:$B$282</c:f>
              <c:strCache>
                <c:ptCount val="2"/>
                <c:pt idx="0">
                  <c:v>Celkové provozní výnosy (CF+)</c:v>
                </c:pt>
                <c:pt idx="1">
                  <c:v>Kč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'Finanční analýza'!$C$275:$L$275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'Finanční analýza'!$C$282:$L$282</c:f>
              <c:numCache>
                <c:formatCode>#,##0.00</c:formatCode>
                <c:ptCount val="10"/>
                <c:pt idx="0">
                  <c:v>562479.16666666663</c:v>
                </c:pt>
                <c:pt idx="1">
                  <c:v>14849450</c:v>
                </c:pt>
                <c:pt idx="2">
                  <c:v>16199400</c:v>
                </c:pt>
                <c:pt idx="3">
                  <c:v>17549350</c:v>
                </c:pt>
                <c:pt idx="4">
                  <c:v>18899300</c:v>
                </c:pt>
                <c:pt idx="5">
                  <c:v>20249250</c:v>
                </c:pt>
                <c:pt idx="6">
                  <c:v>20654235</c:v>
                </c:pt>
                <c:pt idx="7">
                  <c:v>21067319.699999999</c:v>
                </c:pt>
                <c:pt idx="8">
                  <c:v>21488666.094000001</c:v>
                </c:pt>
                <c:pt idx="9">
                  <c:v>21918439.415880002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B1-4836-A9CF-20223B3DA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3003264"/>
        <c:axId val="253004800"/>
      </c:lineChart>
      <c:catAx>
        <c:axId val="25300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3004800"/>
        <c:crosses val="autoZero"/>
        <c:auto val="1"/>
        <c:lblAlgn val="ctr"/>
        <c:lblOffset val="100"/>
        <c:noMultiLvlLbl val="0"/>
      </c:catAx>
      <c:valAx>
        <c:axId val="25300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300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="1" i="0" baseline="0">
                <a:effectLst/>
              </a:rPr>
              <a:t>Čisté hotovostní toky rozdílové varianty</a:t>
            </a:r>
            <a:endParaRPr lang="cs-CZ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'Finanční analýza'!$A$283</c:f>
              <c:strCache>
                <c:ptCount val="1"/>
                <c:pt idx="0">
                  <c:v>Návratnost investice (SNCF)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'Finanční analýza'!$B$275:$L$275</c15:sqref>
                  </c15:fullRef>
                </c:ext>
              </c:extLst>
              <c:f>'Finanční analýza'!$C$275:$L$275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'Finanční analýza'!$B$283:$L$283</c15:sqref>
                  </c15:fullRef>
                </c:ext>
              </c:extLst>
              <c:f>'Finanční analýza'!$C$283:$L$283</c:f>
              <c:numCache>
                <c:formatCode>#,##0.00</c:formatCode>
                <c:ptCount val="10"/>
                <c:pt idx="0">
                  <c:v>-14780592.03975</c:v>
                </c:pt>
                <c:pt idx="1">
                  <c:v>277994.49904166721</c:v>
                </c:pt>
                <c:pt idx="2">
                  <c:v>1292179.4513820838</c:v>
                </c:pt>
                <c:pt idx="3">
                  <c:v>2298025.5989209265</c:v>
                </c:pt>
                <c:pt idx="4">
                  <c:v>3295317.0959889349</c:v>
                </c:pt>
                <c:pt idx="5">
                  <c:v>4283826.1336814668</c:v>
                </c:pt>
                <c:pt idx="6">
                  <c:v>4317455.9620870799</c:v>
                </c:pt>
                <c:pt idx="7">
                  <c:v>4350195.9363742471</c:v>
                </c:pt>
                <c:pt idx="8">
                  <c:v>4381979.8485098742</c:v>
                </c:pt>
                <c:pt idx="9">
                  <c:v>4412738.710597381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F-448E-AB19-7DE6EDD47268}"/>
            </c:ext>
          </c:extLst>
        </c:ser>
        <c:ser>
          <c:idx val="1"/>
          <c:order val="1"/>
          <c:tx>
            <c:strRef>
              <c:f>'Finanční analýza'!$A$284</c:f>
              <c:strCache>
                <c:ptCount val="1"/>
                <c:pt idx="0">
                  <c:v>Diskontovaná návratnost investice (DSNCF)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'Finanční analýza'!$B$275:$L$275</c15:sqref>
                  </c15:fullRef>
                </c:ext>
              </c:extLst>
              <c:f>'Finanční analýza'!$C$275:$L$275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'Finanční analýza'!$B$284:$L$284</c15:sqref>
                  </c15:fullRef>
                </c:ext>
              </c:extLst>
              <c:f>'Finanční analýza'!$C$284:$L$284</c:f>
              <c:numCache>
                <c:formatCode>#,##0.00</c:formatCode>
                <c:ptCount val="10"/>
                <c:pt idx="0">
                  <c:v>-14780592.03975</c:v>
                </c:pt>
                <c:pt idx="1">
                  <c:v>267302.40292467998</c:v>
                </c:pt>
                <c:pt idx="2">
                  <c:v>1194692.540109175</c:v>
                </c:pt>
                <c:pt idx="3">
                  <c:v>2042936.3895732518</c:v>
                </c:pt>
                <c:pt idx="4">
                  <c:v>2816850.8644232466</c:v>
                </c:pt>
                <c:pt idx="5">
                  <c:v>3520992.8199169072</c:v>
                </c:pt>
                <c:pt idx="6">
                  <c:v>3412148.1610376406</c:v>
                </c:pt>
                <c:pt idx="7">
                  <c:v>3305791.3829700197</c:v>
                </c:pt>
                <c:pt idx="8">
                  <c:v>3201869.7538222419</c:v>
                </c:pt>
                <c:pt idx="9">
                  <c:v>3100331.6856409516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F-448E-AB19-7DE6EDD47268}"/>
            </c:ext>
          </c:extLst>
        </c:ser>
        <c:ser>
          <c:idx val="2"/>
          <c:order val="2"/>
          <c:tx>
            <c:strRef>
              <c:f>'Finanční analýza'!$A$287</c:f>
              <c:strCache>
                <c:ptCount val="1"/>
                <c:pt idx="0">
                  <c:v>Kumulovaná návratnost investice (Suma CFt)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'Finanční analýza'!$B$275:$L$275</c15:sqref>
                  </c15:fullRef>
                </c:ext>
              </c:extLst>
              <c:f>'Finanční analýza'!$C$275:$L$275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'Finanční analýza'!$B$287:$L$287</c15:sqref>
                  </c15:fullRef>
                </c:ext>
              </c:extLst>
              <c:f>'Finanční analýza'!$C$287:$L$287</c:f>
              <c:numCache>
                <c:formatCode>#,##0.00</c:formatCode>
                <c:ptCount val="10"/>
                <c:pt idx="0">
                  <c:v>-14780592.03975</c:v>
                </c:pt>
                <c:pt idx="1">
                  <c:v>-14502597.540708333</c:v>
                </c:pt>
                <c:pt idx="2">
                  <c:v>-13210418.089326249</c:v>
                </c:pt>
                <c:pt idx="3">
                  <c:v>-10912392.490405323</c:v>
                </c:pt>
                <c:pt idx="4">
                  <c:v>-7617075.3944163881</c:v>
                </c:pt>
                <c:pt idx="5">
                  <c:v>-3333249.2607349213</c:v>
                </c:pt>
                <c:pt idx="6">
                  <c:v>984206.70135215856</c:v>
                </c:pt>
                <c:pt idx="7">
                  <c:v>5334402.6377264056</c:v>
                </c:pt>
                <c:pt idx="8">
                  <c:v>9716382.4862362798</c:v>
                </c:pt>
                <c:pt idx="9">
                  <c:v>14129121.196833661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6F-448E-AB19-7DE6EDD47268}"/>
            </c:ext>
          </c:extLst>
        </c:ser>
        <c:ser>
          <c:idx val="3"/>
          <c:order val="3"/>
          <c:tx>
            <c:strRef>
              <c:f>'Finanční analýza'!$A$293</c:f>
              <c:strCache>
                <c:ptCount val="1"/>
                <c:pt idx="0">
                  <c:v>Kumulovaná diskontovaná návratnost investice (Suma DCFt)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'Finanční analýza'!$B$275:$L$275</c15:sqref>
                  </c15:fullRef>
                </c:ext>
              </c:extLst>
              <c:f>'Finanční analýza'!$C$275:$L$275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'Finanční analýza'!$B$293:$L$293</c15:sqref>
                  </c15:fullRef>
                </c:ext>
              </c:extLst>
              <c:f>'Finanční analýza'!$C$293:$L$293</c:f>
              <c:numCache>
                <c:formatCode>#,##0.00</c:formatCode>
                <c:ptCount val="10"/>
                <c:pt idx="0">
                  <c:v>-14780592.03975</c:v>
                </c:pt>
                <c:pt idx="1">
                  <c:v>-14513289.636825321</c:v>
                </c:pt>
                <c:pt idx="2">
                  <c:v>-13318597.096716147</c:v>
                </c:pt>
                <c:pt idx="3">
                  <c:v>-11275660.707142895</c:v>
                </c:pt>
                <c:pt idx="4">
                  <c:v>-8458809.842719648</c:v>
                </c:pt>
                <c:pt idx="5">
                  <c:v>-4937817.0228027403</c:v>
                </c:pt>
                <c:pt idx="6">
                  <c:v>-1525668.8617650997</c:v>
                </c:pt>
                <c:pt idx="7">
                  <c:v>1780122.52120492</c:v>
                </c:pt>
                <c:pt idx="8">
                  <c:v>4981992.2750271615</c:v>
                </c:pt>
                <c:pt idx="9">
                  <c:v>8082323.9606681131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6F-448E-AB19-7DE6EDD47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3901056"/>
        <c:axId val="253902848"/>
      </c:lineChart>
      <c:dateAx>
        <c:axId val="25390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3902848"/>
        <c:crosses val="autoZero"/>
        <c:auto val="0"/>
        <c:lblOffset val="100"/>
        <c:baseTimeUnit val="days"/>
      </c:dateAx>
      <c:valAx>
        <c:axId val="25390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390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Provozní </a:t>
            </a:r>
            <a:r>
              <a:rPr lang="cs-CZ" b="1"/>
              <a:t>N</a:t>
            </a:r>
            <a:r>
              <a:rPr lang="en-US" b="1"/>
              <a:t>CF (rozdílová varianta</a:t>
            </a:r>
            <a:r>
              <a:rPr lang="cs-CZ"/>
              <a:t>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'Plán cash flow'!$A$56</c:f>
              <c:strCache>
                <c:ptCount val="1"/>
                <c:pt idx="0">
                  <c:v>NCF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'Plán cash flow'!$B$53:$K$53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'Plán cash flow'!$B$56:$K$56</c:f>
              <c:numCache>
                <c:formatCode>_("Kč"* #,##0.00_);_("Kč"* \(#,##0.00\);_("Kč"* "-"??_);_(@_)</c:formatCode>
                <c:ptCount val="10"/>
                <c:pt idx="0">
                  <c:v>0</c:v>
                </c:pt>
                <c:pt idx="1">
                  <c:v>277994.49904166721</c:v>
                </c:pt>
                <c:pt idx="2">
                  <c:v>1292179.4513820838</c:v>
                </c:pt>
                <c:pt idx="3">
                  <c:v>2298025.5989209265</c:v>
                </c:pt>
                <c:pt idx="4">
                  <c:v>3295317.0959889349</c:v>
                </c:pt>
                <c:pt idx="5">
                  <c:v>4283826.1336814668</c:v>
                </c:pt>
                <c:pt idx="6">
                  <c:v>4317455.9620870799</c:v>
                </c:pt>
                <c:pt idx="7">
                  <c:v>4350195.9363742471</c:v>
                </c:pt>
                <c:pt idx="8">
                  <c:v>4381979.8485098742</c:v>
                </c:pt>
                <c:pt idx="9">
                  <c:v>4412738.710597381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A-430C-B53E-FFD95FCCC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1466112"/>
        <c:axId val="251467648"/>
      </c:lineChart>
      <c:catAx>
        <c:axId val="25146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1467648"/>
        <c:crosses val="autoZero"/>
        <c:auto val="1"/>
        <c:lblAlgn val="ctr"/>
        <c:lblOffset val="100"/>
        <c:noMultiLvlLbl val="0"/>
      </c:catAx>
      <c:valAx>
        <c:axId val="25146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Kč&quot;* #,##0.00_);_(&quot;Kč&quot;* \(#,##0.00\);_(&quot;Kč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146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Provozní CF (rozdílová varianta)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'Plán cash flow'!$A$54</c:f>
              <c:strCache>
                <c:ptCount val="1"/>
                <c:pt idx="0">
                  <c:v>Příjmy (+)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'Plán cash flow'!$B$53:$K$53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'Plán cash flow'!$B$54:$K$54</c:f>
              <c:numCache>
                <c:formatCode>_("Kč"* #,##0.00_);_("Kč"* \(#,##0.00\);_("Kč"* "-"??_);_(@_)</c:formatCode>
                <c:ptCount val="10"/>
                <c:pt idx="0">
                  <c:v>1408863.2064166665</c:v>
                </c:pt>
                <c:pt idx="1">
                  <c:v>14849450</c:v>
                </c:pt>
                <c:pt idx="2">
                  <c:v>16199400</c:v>
                </c:pt>
                <c:pt idx="3">
                  <c:v>17549350</c:v>
                </c:pt>
                <c:pt idx="4">
                  <c:v>18899300</c:v>
                </c:pt>
                <c:pt idx="5">
                  <c:v>20249250</c:v>
                </c:pt>
                <c:pt idx="6">
                  <c:v>20654235</c:v>
                </c:pt>
                <c:pt idx="7">
                  <c:v>21067319.699999999</c:v>
                </c:pt>
                <c:pt idx="8">
                  <c:v>21488666.094000001</c:v>
                </c:pt>
                <c:pt idx="9">
                  <c:v>21918439.415880002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0-40B2-967A-F51565A2F3B5}"/>
            </c:ext>
          </c:extLst>
        </c:ser>
        <c:ser>
          <c:idx val="1"/>
          <c:order val="1"/>
          <c:tx>
            <c:strRef>
              <c:f>'Plán cash flow'!$A$55</c:f>
              <c:strCache>
                <c:ptCount val="1"/>
                <c:pt idx="0">
                  <c:v>Výdaje (-)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'Plán cash flow'!$B$53:$K$53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'Plán cash flow'!$B$55:$K$55</c:f>
              <c:numCache>
                <c:formatCode>_("Kč"* #,##0.00_);_("Kč"* \(#,##0.00\);_("Kč"* "-"??_);_(@_)</c:formatCode>
                <c:ptCount val="10"/>
                <c:pt idx="0">
                  <c:v>1408863.2064166665</c:v>
                </c:pt>
                <c:pt idx="1">
                  <c:v>14571455.500958333</c:v>
                </c:pt>
                <c:pt idx="2">
                  <c:v>14907220.548617916</c:v>
                </c:pt>
                <c:pt idx="3">
                  <c:v>15251324.401079074</c:v>
                </c:pt>
                <c:pt idx="4">
                  <c:v>15603982.904011065</c:v>
                </c:pt>
                <c:pt idx="5">
                  <c:v>15965423.866318533</c:v>
                </c:pt>
                <c:pt idx="6">
                  <c:v>16336779.03791292</c:v>
                </c:pt>
                <c:pt idx="7">
                  <c:v>16717123.763625752</c:v>
                </c:pt>
                <c:pt idx="8">
                  <c:v>17106686.245490126</c:v>
                </c:pt>
                <c:pt idx="9">
                  <c:v>17505700.705282621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0-40B2-967A-F51565A2F3B5}"/>
            </c:ext>
          </c:extLst>
        </c:ser>
        <c:ser>
          <c:idx val="2"/>
          <c:order val="2"/>
          <c:tx>
            <c:strRef>
              <c:f>'Plán cash flow'!$A$56</c:f>
              <c:strCache>
                <c:ptCount val="1"/>
                <c:pt idx="0">
                  <c:v>NCF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'Plán cash flow'!$B$53:$K$53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'Plán cash flow'!$B$56:$K$56</c:f>
              <c:numCache>
                <c:formatCode>_("Kč"* #,##0.00_);_("Kč"* \(#,##0.00\);_("Kč"* "-"??_);_(@_)</c:formatCode>
                <c:ptCount val="10"/>
                <c:pt idx="0">
                  <c:v>0</c:v>
                </c:pt>
                <c:pt idx="1">
                  <c:v>277994.49904166721</c:v>
                </c:pt>
                <c:pt idx="2">
                  <c:v>1292179.4513820838</c:v>
                </c:pt>
                <c:pt idx="3">
                  <c:v>2298025.5989209265</c:v>
                </c:pt>
                <c:pt idx="4">
                  <c:v>3295317.0959889349</c:v>
                </c:pt>
                <c:pt idx="5">
                  <c:v>4283826.1336814668</c:v>
                </c:pt>
                <c:pt idx="6">
                  <c:v>4317455.9620870799</c:v>
                </c:pt>
                <c:pt idx="7">
                  <c:v>4350195.9363742471</c:v>
                </c:pt>
                <c:pt idx="8">
                  <c:v>4381979.8485098742</c:v>
                </c:pt>
                <c:pt idx="9">
                  <c:v>4412738.710597381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80-40B2-967A-F51565A2F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1515264"/>
        <c:axId val="251516800"/>
      </c:lineChart>
      <c:catAx>
        <c:axId val="25151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1516800"/>
        <c:crosses val="autoZero"/>
        <c:auto val="1"/>
        <c:lblAlgn val="ctr"/>
        <c:lblOffset val="100"/>
        <c:noMultiLvlLbl val="0"/>
      </c:catAx>
      <c:valAx>
        <c:axId val="25151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Kč&quot;* #,##0.00_);_(&quot;Kč&quot;* \(#,##0.00\);_(&quot;Kč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151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Provozní CF (Nulová varianta)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'Plán cash flow'!$A$35</c:f>
              <c:strCache>
                <c:ptCount val="1"/>
                <c:pt idx="0">
                  <c:v>Příjmy (+)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'Plán cash flow'!$B$34:$K$34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'Plán cash flow'!$B$35:$K$35</c:f>
              <c:numCache>
                <c:formatCode>_("Kč"* #,##0.00_);_("Kč"* \(#,##0.00\);_("Kč"*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9-4B88-852C-ECC381C96E9C}"/>
            </c:ext>
          </c:extLst>
        </c:ser>
        <c:ser>
          <c:idx val="4"/>
          <c:order val="1"/>
          <c:tx>
            <c:strRef>
              <c:f>'Plán cash flow'!$A$36</c:f>
              <c:strCache>
                <c:ptCount val="1"/>
                <c:pt idx="0">
                  <c:v>Výdaje (-)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'Plán cash flow'!$B$34:$K$34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'Plán cash flow'!$B$36:$K$36</c:f>
              <c:numCache>
                <c:formatCode>_("Kč"* #,##0.00_);_("Kč"* \(#,##0.00\);_("Kč"*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9-4B88-852C-ECC381C96E9C}"/>
            </c:ext>
          </c:extLst>
        </c:ser>
        <c:ser>
          <c:idx val="5"/>
          <c:order val="2"/>
          <c:tx>
            <c:strRef>
              <c:f>'Plán cash flow'!$A$37</c:f>
              <c:strCache>
                <c:ptCount val="1"/>
                <c:pt idx="0">
                  <c:v>NCF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'Plán cash flow'!$B$34:$K$34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'Plán cash flow'!$B$37:$K$37</c:f>
              <c:numCache>
                <c:formatCode>_("Kč"* #,##0.00_);_("Kč"* \(#,##0.00\);_("Kč"*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A9-4B88-852C-ECC381C96E9C}"/>
            </c:ext>
          </c:extLst>
        </c:ser>
        <c:ser>
          <c:idx val="0"/>
          <c:order val="3"/>
          <c:tx>
            <c:strRef>
              <c:f>'Plán cash flow'!$A$35</c:f>
              <c:strCache>
                <c:ptCount val="1"/>
                <c:pt idx="0">
                  <c:v>Příjmy (+)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'Plán cash flow'!$B$34:$K$34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'Plán cash flow'!$B$35:$K$35</c:f>
              <c:numCache>
                <c:formatCode>_("Kč"* #,##0.00_);_("Kč"* \(#,##0.00\);_("Kč"*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A9-4B88-852C-ECC381C96E9C}"/>
            </c:ext>
          </c:extLst>
        </c:ser>
        <c:ser>
          <c:idx val="1"/>
          <c:order val="4"/>
          <c:tx>
            <c:strRef>
              <c:f>'Plán cash flow'!$A$36</c:f>
              <c:strCache>
                <c:ptCount val="1"/>
                <c:pt idx="0">
                  <c:v>Výdaje (-)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'Plán cash flow'!$B$34:$K$34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'Plán cash flow'!$B$36:$K$36</c:f>
              <c:numCache>
                <c:formatCode>_("Kč"* #,##0.00_);_("Kč"* \(#,##0.00\);_("Kč"*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A9-4B88-852C-ECC381C96E9C}"/>
            </c:ext>
          </c:extLst>
        </c:ser>
        <c:ser>
          <c:idx val="2"/>
          <c:order val="5"/>
          <c:tx>
            <c:strRef>
              <c:f>'Plán cash flow'!$A$37</c:f>
              <c:strCache>
                <c:ptCount val="1"/>
                <c:pt idx="0">
                  <c:v>NCF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'Plán cash flow'!$B$34:$K$34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'Plán cash flow'!$B$37:$K$37</c:f>
              <c:numCache>
                <c:formatCode>_("Kč"* #,##0.00_);_("Kč"* \(#,##0.00\);_("Kč"*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A9-4B88-852C-ECC381C96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1580800"/>
        <c:axId val="251582336"/>
      </c:lineChart>
      <c:catAx>
        <c:axId val="25158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1582336"/>
        <c:crosses val="autoZero"/>
        <c:auto val="1"/>
        <c:lblAlgn val="ctr"/>
        <c:lblOffset val="100"/>
        <c:noMultiLvlLbl val="0"/>
      </c:catAx>
      <c:valAx>
        <c:axId val="251582336"/>
        <c:scaling>
          <c:orientation val="minMax"/>
          <c:max val="145000000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Kč&quot;* #,##0.00_);_(&quot;Kč&quot;* \(#,##0.00\);_(&quot;Kč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1580800"/>
        <c:crosses val="autoZero"/>
        <c:crossBetween val="between"/>
        <c:majorUnit val="1000000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Provozní CF (Investiční varianta)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'Plán cash flow'!$A$45</c:f>
              <c:strCache>
                <c:ptCount val="1"/>
                <c:pt idx="0">
                  <c:v>Příjmy (+)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'Plán cash flow'!$B$44:$K$44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'Plán cash flow'!$B$45:$K$45</c:f>
              <c:numCache>
                <c:formatCode>_("Kč"* #,##0.00_);_("Kč"* \(#,##0.00\);_("Kč"* "-"??_);_(@_)</c:formatCode>
                <c:ptCount val="10"/>
                <c:pt idx="0">
                  <c:v>1408863.2064166665</c:v>
                </c:pt>
                <c:pt idx="1">
                  <c:v>14849450</c:v>
                </c:pt>
                <c:pt idx="2">
                  <c:v>16199400</c:v>
                </c:pt>
                <c:pt idx="3">
                  <c:v>17549350</c:v>
                </c:pt>
                <c:pt idx="4">
                  <c:v>18899300</c:v>
                </c:pt>
                <c:pt idx="5">
                  <c:v>20249250</c:v>
                </c:pt>
                <c:pt idx="6">
                  <c:v>20654235</c:v>
                </c:pt>
                <c:pt idx="7">
                  <c:v>21067319.699999999</c:v>
                </c:pt>
                <c:pt idx="8">
                  <c:v>21488666.094000001</c:v>
                </c:pt>
                <c:pt idx="9">
                  <c:v>21918439.415880002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8-4B47-9C99-AB97E79E8DBC}"/>
            </c:ext>
          </c:extLst>
        </c:ser>
        <c:ser>
          <c:idx val="1"/>
          <c:order val="1"/>
          <c:tx>
            <c:strRef>
              <c:f>'Plán cash flow'!$A$46</c:f>
              <c:strCache>
                <c:ptCount val="1"/>
                <c:pt idx="0">
                  <c:v>Výdaje (-)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'Plán cash flow'!$B$44:$K$44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'Plán cash flow'!$B$46:$K$46</c:f>
              <c:numCache>
                <c:formatCode>_("Kč"* #,##0.00_);_("Kč"* \(#,##0.00\);_("Kč"* "-"??_);_(@_)</c:formatCode>
                <c:ptCount val="10"/>
                <c:pt idx="0">
                  <c:v>1408863.2064166665</c:v>
                </c:pt>
                <c:pt idx="1">
                  <c:v>14571455.500958333</c:v>
                </c:pt>
                <c:pt idx="2">
                  <c:v>14907220.548617916</c:v>
                </c:pt>
                <c:pt idx="3">
                  <c:v>15251324.401079074</c:v>
                </c:pt>
                <c:pt idx="4">
                  <c:v>15603982.904011065</c:v>
                </c:pt>
                <c:pt idx="5">
                  <c:v>15965423.866318533</c:v>
                </c:pt>
                <c:pt idx="6">
                  <c:v>16336779.03791292</c:v>
                </c:pt>
                <c:pt idx="7">
                  <c:v>16717123.763625752</c:v>
                </c:pt>
                <c:pt idx="8">
                  <c:v>17106686.245490126</c:v>
                </c:pt>
                <c:pt idx="9">
                  <c:v>17505700.705282621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8-4B47-9C99-AB97E79E8DBC}"/>
            </c:ext>
          </c:extLst>
        </c:ser>
        <c:ser>
          <c:idx val="2"/>
          <c:order val="2"/>
          <c:tx>
            <c:strRef>
              <c:f>'Plán cash flow'!$A$47</c:f>
              <c:strCache>
                <c:ptCount val="1"/>
                <c:pt idx="0">
                  <c:v>NCF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'Plán cash flow'!$B$44:$K$44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'Plán cash flow'!$B$47:$K$47</c:f>
              <c:numCache>
                <c:formatCode>_("Kč"* #,##0.00_);_("Kč"* \(#,##0.00\);_("Kč"* "-"??_);_(@_)</c:formatCode>
                <c:ptCount val="10"/>
                <c:pt idx="0">
                  <c:v>0</c:v>
                </c:pt>
                <c:pt idx="1">
                  <c:v>277994.49904166721</c:v>
                </c:pt>
                <c:pt idx="2">
                  <c:v>1292179.4513820838</c:v>
                </c:pt>
                <c:pt idx="3">
                  <c:v>2298025.5989209265</c:v>
                </c:pt>
                <c:pt idx="4">
                  <c:v>3295317.0959889349</c:v>
                </c:pt>
                <c:pt idx="5">
                  <c:v>4283826.1336814668</c:v>
                </c:pt>
                <c:pt idx="6">
                  <c:v>4317455.9620870799</c:v>
                </c:pt>
                <c:pt idx="7">
                  <c:v>4350195.9363742471</c:v>
                </c:pt>
                <c:pt idx="8">
                  <c:v>4381979.8485098742</c:v>
                </c:pt>
                <c:pt idx="9">
                  <c:v>4412738.710597381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B8-4B47-9C99-AB97E79E8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2795136"/>
        <c:axId val="252805120"/>
      </c:lineChart>
      <c:catAx>
        <c:axId val="25279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2805120"/>
        <c:crosses val="autoZero"/>
        <c:auto val="1"/>
        <c:lblAlgn val="ctr"/>
        <c:lblOffset val="100"/>
        <c:noMultiLvlLbl val="0"/>
      </c:catAx>
      <c:valAx>
        <c:axId val="252805120"/>
        <c:scaling>
          <c:orientation val="minMax"/>
          <c:min val="-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Kč&quot;* #,##0.00_);_(&quot;Kč&quot;* \(#,##0.00\);_(&quot;Kč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2795136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>
                <a:solidFill>
                  <a:srgbClr val="C00000"/>
                </a:solidFill>
              </a:rPr>
              <a:t>Kumulativní provozní</a:t>
            </a:r>
            <a:r>
              <a:rPr lang="cs-CZ" b="1" baseline="0">
                <a:solidFill>
                  <a:srgbClr val="C00000"/>
                </a:solidFill>
              </a:rPr>
              <a:t> </a:t>
            </a:r>
            <a:r>
              <a:rPr lang="cs-CZ" b="1">
                <a:solidFill>
                  <a:srgbClr val="C00000"/>
                </a:solidFill>
              </a:rPr>
              <a:t>NCF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Suma NCF NV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'Plán cash flow'!$A$38:$K$38</c:f>
              <c:numCache>
                <c:formatCode>_("Kč"* #,##0.00_);_("Kč"* \(#,##0.00\);_("Kč"* "-"??_);_(@_)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1-4352-A559-7643B1AD523F}"/>
            </c:ext>
          </c:extLst>
        </c:ser>
        <c:ser>
          <c:idx val="2"/>
          <c:order val="1"/>
          <c:tx>
            <c:v>Suma NCF IV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'Plán cash flow'!$A$48:$K$48</c:f>
              <c:numCache>
                <c:formatCode>_("Kč"* #,##0.00_);_("Kč"* \(#,##0.00\);_("Kč"* "-"??_);_(@_)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277994.49904166721</c:v>
                </c:pt>
                <c:pt idx="3">
                  <c:v>1570173.950423751</c:v>
                </c:pt>
                <c:pt idx="4">
                  <c:v>3868199.5493446775</c:v>
                </c:pt>
                <c:pt idx="5">
                  <c:v>7163516.6453336123</c:v>
                </c:pt>
                <c:pt idx="6">
                  <c:v>11447342.779015079</c:v>
                </c:pt>
                <c:pt idx="7">
                  <c:v>15764798.741102159</c:v>
                </c:pt>
                <c:pt idx="8">
                  <c:v>20114994.677476406</c:v>
                </c:pt>
                <c:pt idx="9">
                  <c:v>24496974.52598628</c:v>
                </c:pt>
                <c:pt idx="10">
                  <c:v>28909713.236583661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1-4352-A559-7643B1AD523F}"/>
            </c:ext>
          </c:extLst>
        </c:ser>
        <c:ser>
          <c:idx val="3"/>
          <c:order val="2"/>
          <c:tx>
            <c:v>Suma NCF RV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'Plán cash flow'!$A$57:$K$57</c:f>
              <c:numCache>
                <c:formatCode>_("Kč"* #,##0.00_);_("Kč"* \(#,##0.00\);_("Kč"* "-"??_);_(@_)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277994.49904166721</c:v>
                </c:pt>
                <c:pt idx="3">
                  <c:v>1570173.950423751</c:v>
                </c:pt>
                <c:pt idx="4">
                  <c:v>3868199.5493446775</c:v>
                </c:pt>
                <c:pt idx="5">
                  <c:v>7163516.6453336123</c:v>
                </c:pt>
                <c:pt idx="6">
                  <c:v>11447342.779015079</c:v>
                </c:pt>
                <c:pt idx="7">
                  <c:v>15764798.741102159</c:v>
                </c:pt>
                <c:pt idx="8">
                  <c:v>20114994.677476406</c:v>
                </c:pt>
                <c:pt idx="9">
                  <c:v>24496974.52598628</c:v>
                </c:pt>
                <c:pt idx="10">
                  <c:v>28909713.236583661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E1-4352-A559-7643B1AD5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2909824"/>
        <c:axId val="252911616"/>
      </c:lineChart>
      <c:catAx>
        <c:axId val="252909824"/>
        <c:scaling>
          <c:orientation val="minMax"/>
        </c:scaling>
        <c:delete val="0"/>
        <c:axPos val="t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2911616"/>
        <c:crosses val="max"/>
        <c:auto val="1"/>
        <c:lblAlgn val="ctr"/>
        <c:lblOffset val="100"/>
        <c:noMultiLvlLbl val="0"/>
      </c:catAx>
      <c:valAx>
        <c:axId val="252911616"/>
        <c:scaling>
          <c:orientation val="minMax"/>
          <c:max val="5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2909824"/>
        <c:crosses val="autoZero"/>
        <c:crossBetween val="between"/>
        <c:majorUnit val="4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Trend provozních</a:t>
            </a:r>
            <a:r>
              <a:rPr lang="cs-CZ" b="1" baseline="0"/>
              <a:t> tržeb</a:t>
            </a:r>
            <a:r>
              <a:rPr lang="cs-CZ" b="1"/>
              <a:t> (meziroční diference</a:t>
            </a:r>
            <a:r>
              <a:rPr lang="cs-CZ"/>
              <a:t>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16252570748404727"/>
                  <c:y val="-0.145192933441717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</c:trendlineLbl>
          </c:trendline>
          <c:cat>
            <c:multiLvlStrRef>
              <c:f>'Zakl. ekon. ukazatele'!$C$22:$G$23</c:f>
              <c:multiLvlStrCache>
                <c:ptCount val="5"/>
                <c:lvl>
                  <c:pt idx="0">
                    <c:v>m-3</c:v>
                  </c:pt>
                  <c:pt idx="1">
                    <c:v>m-2</c:v>
                  </c:pt>
                  <c:pt idx="2">
                    <c:v>m-1</c:v>
                  </c:pt>
                  <c:pt idx="3">
                    <c:v>m</c:v>
                  </c:pt>
                  <c:pt idx="4">
                    <c:v>m+1</c:v>
                  </c:pt>
                </c:lvl>
                <c:lvl>
                  <c:pt idx="0">
                    <c:v>2020</c:v>
                  </c:pt>
                  <c:pt idx="1">
                    <c:v>2021</c:v>
                  </c:pt>
                  <c:pt idx="2">
                    <c:v>2022</c:v>
                  </c:pt>
                  <c:pt idx="3">
                    <c:v>2023</c:v>
                  </c:pt>
                  <c:pt idx="4">
                    <c:v>2024*</c:v>
                  </c:pt>
                </c:lvl>
              </c:multiLvlStrCache>
            </c:multiLvlStrRef>
          </c:cat>
          <c:val>
            <c:numRef>
              <c:f>'[2]Zakl. ekon. ukazatele'!$R$27:$U$27</c:f>
              <c:numCache>
                <c:formatCode>General</c:formatCode>
                <c:ptCount val="4"/>
                <c:pt idx="0">
                  <c:v>31833</c:v>
                </c:pt>
                <c:pt idx="1">
                  <c:v>29145</c:v>
                </c:pt>
                <c:pt idx="2">
                  <c:v>-2505</c:v>
                </c:pt>
                <c:pt idx="3">
                  <c:v>27304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1-4E5A-B7A8-6B379F78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600912"/>
        <c:axId val="487606320"/>
      </c:lineChart>
      <c:catAx>
        <c:axId val="48760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87606320"/>
        <c:crosses val="autoZero"/>
        <c:auto val="1"/>
        <c:lblAlgn val="ctr"/>
        <c:lblOffset val="100"/>
        <c:noMultiLvlLbl val="0"/>
      </c:catAx>
      <c:valAx>
        <c:axId val="48760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8760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Provozní CF (nediskontované toky)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'Finanční analýza'!$A$74:$B$74</c:f>
              <c:strCache>
                <c:ptCount val="2"/>
                <c:pt idx="0">
                  <c:v>Provozní příjmy (CF+)</c:v>
                </c:pt>
                <c:pt idx="1">
                  <c:v>Kč</c:v>
                </c:pt>
              </c:strCache>
            </c:strRef>
          </c:tx>
          <c:spPr>
            <a:ln w="28575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cat>
            <c:numRef>
              <c:f>'Finanční analýza'!$C$71:$L$71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'Finanční analýza'!$C$74:$L$74</c:f>
              <c:numCache>
                <c:formatCode>#,##0.00</c:formatCode>
                <c:ptCount val="10"/>
                <c:pt idx="0">
                  <c:v>1408863.2064166665</c:v>
                </c:pt>
                <c:pt idx="1">
                  <c:v>14849450</c:v>
                </c:pt>
                <c:pt idx="2">
                  <c:v>16199400</c:v>
                </c:pt>
                <c:pt idx="3">
                  <c:v>17549350</c:v>
                </c:pt>
                <c:pt idx="4">
                  <c:v>18899300</c:v>
                </c:pt>
                <c:pt idx="5">
                  <c:v>20249250</c:v>
                </c:pt>
                <c:pt idx="6">
                  <c:v>20654235</c:v>
                </c:pt>
                <c:pt idx="7">
                  <c:v>21067319.699999999</c:v>
                </c:pt>
                <c:pt idx="8">
                  <c:v>21488666.094000001</c:v>
                </c:pt>
                <c:pt idx="9">
                  <c:v>21918439.415880002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E-4584-A8EF-04D92368F067}"/>
            </c:ext>
          </c:extLst>
        </c:ser>
        <c:ser>
          <c:idx val="1"/>
          <c:order val="1"/>
          <c:tx>
            <c:strRef>
              <c:f>'Finanční analýza'!$A$75:$B$75</c:f>
              <c:strCache>
                <c:ptCount val="2"/>
                <c:pt idx="0">
                  <c:v>Provozní výdaje (CF-)</c:v>
                </c:pt>
                <c:pt idx="1">
                  <c:v>Kč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'Finanční analýza'!$C$71:$L$71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'Finanční analýza'!$C$75:$L$75</c:f>
              <c:numCache>
                <c:formatCode>#,##0.00</c:formatCode>
                <c:ptCount val="10"/>
                <c:pt idx="0">
                  <c:v>1408863.2064166665</c:v>
                </c:pt>
                <c:pt idx="1">
                  <c:v>14571455.500958333</c:v>
                </c:pt>
                <c:pt idx="2">
                  <c:v>14907220.548617916</c:v>
                </c:pt>
                <c:pt idx="3">
                  <c:v>15251324.401079074</c:v>
                </c:pt>
                <c:pt idx="4">
                  <c:v>15603982.904011065</c:v>
                </c:pt>
                <c:pt idx="5">
                  <c:v>15965423.866318533</c:v>
                </c:pt>
                <c:pt idx="6">
                  <c:v>16336779.03791292</c:v>
                </c:pt>
                <c:pt idx="7">
                  <c:v>16717123.763625752</c:v>
                </c:pt>
                <c:pt idx="8">
                  <c:v>17106686.245490126</c:v>
                </c:pt>
                <c:pt idx="9">
                  <c:v>17505700.705282621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E-4584-A8EF-04D92368F067}"/>
            </c:ext>
          </c:extLst>
        </c:ser>
        <c:ser>
          <c:idx val="2"/>
          <c:order val="2"/>
          <c:tx>
            <c:strRef>
              <c:f>'Finanční analýza'!$A$76:$B$76</c:f>
              <c:strCache>
                <c:ptCount val="2"/>
                <c:pt idx="0">
                  <c:v>Investiční výdaje (CF-)</c:v>
                </c:pt>
                <c:pt idx="1">
                  <c:v>Kč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'Finanční analýza'!$C$71:$L$71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'Finanční analýza'!$C$76:$L$76</c:f>
              <c:numCache>
                <c:formatCode>#,##0.00</c:formatCode>
                <c:ptCount val="10"/>
                <c:pt idx="0">
                  <c:v>13934208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D-4678-BF46-9B68B71BB0CF}"/>
            </c:ext>
          </c:extLst>
        </c:ser>
        <c:ser>
          <c:idx val="3"/>
          <c:order val="3"/>
          <c:tx>
            <c:strRef>
              <c:f>'Finanční analýza'!$A$77:$B$77</c:f>
              <c:strCache>
                <c:ptCount val="2"/>
                <c:pt idx="0">
                  <c:v>Zůstatková hodnota (CF+)</c:v>
                </c:pt>
                <c:pt idx="1">
                  <c:v>Kč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'Finanční analýza'!$C$71:$L$71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'Finanční analýza'!$C$77:$L$77</c:f>
              <c:numCache>
                <c:formatCode>#,##0.00</c:formatCode>
                <c:ptCount val="10"/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D-4678-BF46-9B68B71BB0CF}"/>
            </c:ext>
          </c:extLst>
        </c:ser>
        <c:ser>
          <c:idx val="4"/>
          <c:order val="4"/>
          <c:tx>
            <c:strRef>
              <c:f>'Finanční analýza'!$A$78:$B$78</c:f>
              <c:strCache>
                <c:ptCount val="2"/>
                <c:pt idx="0">
                  <c:v>S NCF (sloupcový součet)</c:v>
                </c:pt>
                <c:pt idx="1">
                  <c:v>Kč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'Finanční analýza'!$C$71:$L$71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'Finanční analýza'!$C$78:$L$78</c:f>
              <c:numCache>
                <c:formatCode>#,##0.00</c:formatCode>
                <c:ptCount val="10"/>
                <c:pt idx="0">
                  <c:v>-13934208</c:v>
                </c:pt>
                <c:pt idx="1">
                  <c:v>277994.49904166721</c:v>
                </c:pt>
                <c:pt idx="2">
                  <c:v>1292179.4513820838</c:v>
                </c:pt>
                <c:pt idx="3">
                  <c:v>2298025.5989209265</c:v>
                </c:pt>
                <c:pt idx="4">
                  <c:v>3295317.0959889349</c:v>
                </c:pt>
                <c:pt idx="5">
                  <c:v>4283826.1336814668</c:v>
                </c:pt>
                <c:pt idx="6">
                  <c:v>4317455.9620870799</c:v>
                </c:pt>
                <c:pt idx="7">
                  <c:v>4350195.9363742471</c:v>
                </c:pt>
                <c:pt idx="8">
                  <c:v>4381979.8485098742</c:v>
                </c:pt>
                <c:pt idx="9">
                  <c:v>4412738.710597381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D-4678-BF46-9B68B71BB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0783232"/>
        <c:axId val="250784768"/>
      </c:lineChart>
      <c:catAx>
        <c:axId val="25078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0784768"/>
        <c:crosses val="autoZero"/>
        <c:auto val="1"/>
        <c:lblAlgn val="ctr"/>
        <c:lblOffset val="100"/>
        <c:noMultiLvlLbl val="0"/>
      </c:catAx>
      <c:valAx>
        <c:axId val="250784768"/>
        <c:scaling>
          <c:orientation val="minMax"/>
          <c:min val="-2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0783232"/>
        <c:crosses val="autoZero"/>
        <c:crossBetween val="between"/>
        <c:majorUnit val="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Provozní CF (diskontované toky)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'Finanční analýza'!$A$87:$B$87</c:f>
              <c:strCache>
                <c:ptCount val="2"/>
                <c:pt idx="0">
                  <c:v>Provozní příjmy (CF+)</c:v>
                </c:pt>
                <c:pt idx="1">
                  <c:v>Kč</c:v>
                </c:pt>
              </c:strCache>
            </c:strRef>
          </c:tx>
          <c:spPr>
            <a:ln w="28575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cat>
            <c:numRef>
              <c:f>'Finanční analýza'!$C$84:$L$84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'Finanční analýza'!$C$87:$L$87</c:f>
              <c:numCache>
                <c:formatCode>#,##0.00</c:formatCode>
                <c:ptCount val="10"/>
                <c:pt idx="0">
                  <c:v>1408863.2064166665</c:v>
                </c:pt>
                <c:pt idx="1">
                  <c:v>14278317.307692308</c:v>
                </c:pt>
                <c:pt idx="2">
                  <c:v>14977255.917159762</c:v>
                </c:pt>
                <c:pt idx="3">
                  <c:v>15601308.247041419</c:v>
                </c:pt>
                <c:pt idx="4">
                  <c:v>16155200.847528094</c:v>
                </c:pt>
                <c:pt idx="5">
                  <c:v>16643407.4665468</c:v>
                </c:pt>
                <c:pt idx="6">
                  <c:v>16323341.938343976</c:v>
                </c:pt>
                <c:pt idx="7">
                  <c:v>16009431.516452746</c:v>
                </c:pt>
                <c:pt idx="8">
                  <c:v>15701557.833444038</c:v>
                </c:pt>
                <c:pt idx="9">
                  <c:v>15399604.798185499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1-4525-B972-7A911790C158}"/>
            </c:ext>
          </c:extLst>
        </c:ser>
        <c:ser>
          <c:idx val="2"/>
          <c:order val="1"/>
          <c:tx>
            <c:strRef>
              <c:f>'Finanční analýza'!$A$88:$B$88</c:f>
              <c:strCache>
                <c:ptCount val="2"/>
                <c:pt idx="0">
                  <c:v>Provozní výdaje (CF-)</c:v>
                </c:pt>
                <c:pt idx="1">
                  <c:v>Kč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'Finanční analýza'!$C$84:$L$84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'Finanční analýza'!$C$88:$L$88</c:f>
              <c:numCache>
                <c:formatCode>#,##0.00</c:formatCode>
                <c:ptCount val="10"/>
                <c:pt idx="0">
                  <c:v>1408863.2064166665</c:v>
                </c:pt>
                <c:pt idx="1">
                  <c:v>14011014.904767627</c:v>
                </c:pt>
                <c:pt idx="2">
                  <c:v>13782563.377050586</c:v>
                </c:pt>
                <c:pt idx="3">
                  <c:v>13558371.857468167</c:v>
                </c:pt>
                <c:pt idx="4">
                  <c:v>13338349.983104849</c:v>
                </c:pt>
                <c:pt idx="5">
                  <c:v>13122414.646629892</c:v>
                </c:pt>
                <c:pt idx="6">
                  <c:v>12911193.777306335</c:v>
                </c:pt>
                <c:pt idx="7">
                  <c:v>12703640.133482726</c:v>
                </c:pt>
                <c:pt idx="8">
                  <c:v>12499688.079621797</c:v>
                </c:pt>
                <c:pt idx="9">
                  <c:v>12299273.112544548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1-4525-B972-7A911790C158}"/>
            </c:ext>
          </c:extLst>
        </c:ser>
        <c:ser>
          <c:idx val="3"/>
          <c:order val="2"/>
          <c:tx>
            <c:strRef>
              <c:f>'Finanční analýza'!$A$89:$B$89</c:f>
              <c:strCache>
                <c:ptCount val="2"/>
                <c:pt idx="0">
                  <c:v>Investiční výdaje (CF-)</c:v>
                </c:pt>
                <c:pt idx="1">
                  <c:v>Kč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'Finanční analýza'!$C$84:$L$84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'Finanční analýza'!$C$89:$L$89</c:f>
              <c:numCache>
                <c:formatCode>#,##0.00</c:formatCode>
                <c:ptCount val="10"/>
                <c:pt idx="0">
                  <c:v>13934208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51-4525-B972-7A911790C158}"/>
            </c:ext>
          </c:extLst>
        </c:ser>
        <c:ser>
          <c:idx val="4"/>
          <c:order val="3"/>
          <c:tx>
            <c:strRef>
              <c:f>'Finanční analýza'!$A$90:$B$90</c:f>
              <c:strCache>
                <c:ptCount val="2"/>
                <c:pt idx="0">
                  <c:v>Zůstatková hodnota (CF+)</c:v>
                </c:pt>
                <c:pt idx="1">
                  <c:v>Kč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'Finanční analýza'!$C$84:$L$84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'Finanční analýza'!$C$90:$L$90</c:f>
              <c:numCache>
                <c:formatCode>#,##0.00</c:formatCode>
                <c:ptCount val="10"/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51-4525-B972-7A911790C158}"/>
            </c:ext>
          </c:extLst>
        </c:ser>
        <c:ser>
          <c:idx val="5"/>
          <c:order val="4"/>
          <c:tx>
            <c:strRef>
              <c:f>'Finanční analýza'!$A$91:$B$91</c:f>
              <c:strCache>
                <c:ptCount val="2"/>
                <c:pt idx="0">
                  <c:v>S NCF (sloupcový součet)</c:v>
                </c:pt>
                <c:pt idx="1">
                  <c:v>Kč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'Finanční analýza'!$C$84:$L$84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'Finanční analýza'!$C$91:$L$91</c:f>
              <c:numCache>
                <c:formatCode>#,##0.00</c:formatCode>
                <c:ptCount val="10"/>
                <c:pt idx="0">
                  <c:v>-13934208</c:v>
                </c:pt>
                <c:pt idx="1">
                  <c:v>267302.40292468108</c:v>
                </c:pt>
                <c:pt idx="2">
                  <c:v>1194692.5401091762</c:v>
                </c:pt>
                <c:pt idx="3">
                  <c:v>2042936.3895732518</c:v>
                </c:pt>
                <c:pt idx="4">
                  <c:v>2816850.8644232452</c:v>
                </c:pt>
                <c:pt idx="5">
                  <c:v>3520992.8199169077</c:v>
                </c:pt>
                <c:pt idx="6">
                  <c:v>3412148.1610376406</c:v>
                </c:pt>
                <c:pt idx="7">
                  <c:v>3305791.3829700202</c:v>
                </c:pt>
                <c:pt idx="8">
                  <c:v>3201869.753822241</c:v>
                </c:pt>
                <c:pt idx="9">
                  <c:v>3100331.6856409516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51-4525-B972-7A911790C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3337600"/>
        <c:axId val="253339136"/>
      </c:lineChart>
      <c:catAx>
        <c:axId val="25333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3339136"/>
        <c:crosses val="autoZero"/>
        <c:auto val="1"/>
        <c:lblAlgn val="ctr"/>
        <c:lblOffset val="100"/>
        <c:noMultiLvlLbl val="0"/>
      </c:catAx>
      <c:valAx>
        <c:axId val="253339136"/>
        <c:scaling>
          <c:orientation val="minMax"/>
          <c:max val="25000000"/>
          <c:min val="-2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3337600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990600</xdr:colOff>
      <xdr:row>2</xdr:row>
      <xdr:rowOff>19050</xdr:rowOff>
    </xdr:from>
    <xdr:to>
      <xdr:col>8</xdr:col>
      <xdr:colOff>114300</xdr:colOff>
      <xdr:row>3</xdr:row>
      <xdr:rowOff>28575</xdr:rowOff>
    </xdr:to>
    <xdr:sp macro="" textlink="">
      <xdr:nvSpPr>
        <xdr:cNvPr id="2" name="Šipka dopra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830050" y="457200"/>
          <a:ext cx="323850" cy="219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1440873</xdr:colOff>
      <xdr:row>1</xdr:row>
      <xdr:rowOff>121226</xdr:rowOff>
    </xdr:from>
    <xdr:to>
      <xdr:col>5</xdr:col>
      <xdr:colOff>305954</xdr:colOff>
      <xdr:row>2</xdr:row>
      <xdr:rowOff>155573</xdr:rowOff>
    </xdr:to>
    <xdr:sp macro="" textlink="">
      <xdr:nvSpPr>
        <xdr:cNvPr id="2" name="Šipka doprava 1">
          <a:extLst>
            <a:ext uri="{FF2B5EF4-FFF2-40B4-BE49-F238E27FC236}">
              <a16:creationId xmlns:a16="http://schemas.microsoft.com/office/drawing/2014/main" id="{D59540AE-9DD6-45D4-9E55-BE746D9B663A}"/>
            </a:ext>
          </a:extLst>
        </xdr:cNvPr>
        <xdr:cNvSpPr/>
      </xdr:nvSpPr>
      <xdr:spPr>
        <a:xfrm>
          <a:off x="10594398" y="311726"/>
          <a:ext cx="446231" cy="2343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1475509</xdr:colOff>
      <xdr:row>1</xdr:row>
      <xdr:rowOff>121226</xdr:rowOff>
    </xdr:from>
    <xdr:to>
      <xdr:col>5</xdr:col>
      <xdr:colOff>340590</xdr:colOff>
      <xdr:row>2</xdr:row>
      <xdr:rowOff>155573</xdr:rowOff>
    </xdr:to>
    <xdr:sp macro="" textlink="">
      <xdr:nvSpPr>
        <xdr:cNvPr id="2" name="Šipka doprava 1">
          <a:extLst>
            <a:ext uri="{FF2B5EF4-FFF2-40B4-BE49-F238E27FC236}">
              <a16:creationId xmlns:a16="http://schemas.microsoft.com/office/drawing/2014/main" id="{11712288-89C5-4C66-8C8D-4CD765800626}"/>
            </a:ext>
          </a:extLst>
        </xdr:cNvPr>
        <xdr:cNvSpPr/>
      </xdr:nvSpPr>
      <xdr:spPr>
        <a:xfrm>
          <a:off x="10438534" y="311726"/>
          <a:ext cx="446231" cy="2343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166686</xdr:colOff>
      <xdr:row>94</xdr:row>
      <xdr:rowOff>182165</xdr:rowOff>
    </xdr:from>
    <xdr:to>
      <xdr:col>5</xdr:col>
      <xdr:colOff>904874</xdr:colOff>
      <xdr:row>115</xdr:row>
      <xdr:rowOff>130969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166685</xdr:colOff>
      <xdr:row>116</xdr:row>
      <xdr:rowOff>110726</xdr:rowOff>
    </xdr:from>
    <xdr:to>
      <xdr:col>5</xdr:col>
      <xdr:colOff>904874</xdr:colOff>
      <xdr:row>137</xdr:row>
      <xdr:rowOff>47623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1166811</xdr:colOff>
      <xdr:row>94</xdr:row>
      <xdr:rowOff>170257</xdr:rowOff>
    </xdr:from>
    <xdr:to>
      <xdr:col>10</xdr:col>
      <xdr:colOff>833438</xdr:colOff>
      <xdr:row>115</xdr:row>
      <xdr:rowOff>119062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369091</xdr:colOff>
      <xdr:row>70</xdr:row>
      <xdr:rowOff>119063</xdr:rowOff>
    </xdr:from>
    <xdr:to>
      <xdr:col>5</xdr:col>
      <xdr:colOff>904873</xdr:colOff>
      <xdr:row>93</xdr:row>
      <xdr:rowOff>47625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1166812</xdr:colOff>
      <xdr:row>70</xdr:row>
      <xdr:rowOff>142874</xdr:rowOff>
    </xdr:from>
    <xdr:to>
      <xdr:col>10</xdr:col>
      <xdr:colOff>1023938</xdr:colOff>
      <xdr:row>93</xdr:row>
      <xdr:rowOff>83344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1166812</xdr:colOff>
      <xdr:row>116</xdr:row>
      <xdr:rowOff>158351</xdr:rowOff>
    </xdr:from>
    <xdr:to>
      <xdr:col>10</xdr:col>
      <xdr:colOff>785811</xdr:colOff>
      <xdr:row>137</xdr:row>
      <xdr:rowOff>83342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104775</xdr:colOff>
      <xdr:row>22</xdr:row>
      <xdr:rowOff>247651</xdr:rowOff>
    </xdr:from>
    <xdr:to>
      <xdr:col>27</xdr:col>
      <xdr:colOff>2380</xdr:colOff>
      <xdr:row>37</xdr:row>
      <xdr:rowOff>47625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286DB66-A00D-8989-7316-9BB71652B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250030</xdr:colOff>
      <xdr:row>178</xdr:row>
      <xdr:rowOff>158352</xdr:rowOff>
    </xdr:from>
    <xdr:to>
      <xdr:col>5</xdr:col>
      <xdr:colOff>988218</xdr:colOff>
      <xdr:row>201</xdr:row>
      <xdr:rowOff>95250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309563</xdr:colOff>
      <xdr:row>178</xdr:row>
      <xdr:rowOff>154780</xdr:rowOff>
    </xdr:from>
    <xdr:to>
      <xdr:col>13</xdr:col>
      <xdr:colOff>381001</xdr:colOff>
      <xdr:row>201</xdr:row>
      <xdr:rowOff>84665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119063</xdr:colOff>
      <xdr:row>308</xdr:row>
      <xdr:rowOff>35718</xdr:rowOff>
    </xdr:from>
    <xdr:to>
      <xdr:col>5</xdr:col>
      <xdr:colOff>881062</xdr:colOff>
      <xdr:row>336</xdr:row>
      <xdr:rowOff>11905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1047750</xdr:colOff>
      <xdr:row>308</xdr:row>
      <xdr:rowOff>15479</xdr:rowOff>
    </xdr:from>
    <xdr:to>
      <xdr:col>12</xdr:col>
      <xdr:colOff>1595436</xdr:colOff>
      <xdr:row>336</xdr:row>
      <xdr:rowOff>23813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MO&#352;KOLN&#205;%20AKTIVITY\!EURO%20GRANT%20INVESTMENT,%20s.r.o\!PROJEKTY\!2014-2020\ITI_OV\TECHNOLOGIE_ITI\CYPRI&#193;N,%20s.r.o\CBA_FINAN&#268;N&#205;%20ANAL&#221;ZA\MINUL&#221;%20PROJEKT\CYPRI&#193;N_FA_revize_do%20PZ_6-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TACE%20EU%20A%20CBA\M&#282;STA\OLOMOUC_8.3.2023\&#344;E&#352;EN&#205;_P&#344;&#205;LOHY\P&#345;&#237;loha%209_Finan&#269;n&#237;%20pl&#225;n%20projektu_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ožkový rozpočtu projektu"/>
      <sheetName val="Investiční náklady_vznik"/>
      <sheetName val="Investiční náklady_úhrady"/>
      <sheetName val="Provozní náklady"/>
      <sheetName val="Provozní výnosy"/>
      <sheetName val="Zdroje financování"/>
      <sheetName val="Plán příjmů a výdajů v inv. fáz"/>
      <sheetName val="Cash Flow_kontrola"/>
      <sheetName val="Zakl. ekon. ukazatele"/>
      <sheetName val="Odběratelé"/>
      <sheetName val="Analýza tržeb"/>
    </sheetNames>
    <sheetDataSet>
      <sheetData sheetId="0"/>
      <sheetData sheetId="1"/>
      <sheetData sheetId="2"/>
      <sheetData sheetId="3">
        <row r="76">
          <cell r="C76">
            <v>1435859</v>
          </cell>
        </row>
        <row r="78">
          <cell r="C78">
            <v>872375</v>
          </cell>
        </row>
        <row r="82">
          <cell r="C82">
            <v>99688</v>
          </cell>
        </row>
        <row r="84">
          <cell r="C84">
            <v>489486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ožkový rozpočet projektu"/>
      <sheetName val="Investiční náklady_vznik"/>
      <sheetName val="Investiční náklady_úhrada"/>
      <sheetName val="Zdroje financování"/>
      <sheetName val=" Finanční plán (ŽoP)"/>
      <sheetName val="Provozní náklady"/>
      <sheetName val="Provozní výnosy"/>
      <sheetName val="Plán cash flow"/>
      <sheetName val="Zakl. ekon. ukazatele"/>
      <sheetName val="Tržby"/>
      <sheetName val="Odběratelé_Dodavaté_Odby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5">
          <cell r="R25" t="str">
            <v>2014-2013</v>
          </cell>
        </row>
        <row r="27">
          <cell r="R27">
            <v>31833</v>
          </cell>
          <cell r="S27">
            <v>29145</v>
          </cell>
          <cell r="T27">
            <v>-2505</v>
          </cell>
          <cell r="U27">
            <v>27304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M39"/>
  <sheetViews>
    <sheetView showGridLines="0" zoomScaleNormal="100" workbookViewId="0">
      <selection activeCell="A39" sqref="A39"/>
    </sheetView>
  </sheetViews>
  <sheetFormatPr defaultRowHeight="15"/>
  <cols>
    <col min="1" max="1" width="9" customWidth="1"/>
    <col min="2" max="2" width="65.42578125" customWidth="1"/>
    <col min="3" max="3" width="20.42578125" customWidth="1"/>
    <col min="4" max="4" width="19.5703125" customWidth="1"/>
    <col min="5" max="5" width="19.7109375" customWidth="1"/>
    <col min="6" max="6" width="22.42578125" customWidth="1"/>
    <col min="7" max="7" width="6" customWidth="1"/>
    <col min="8" max="8" width="18" customWidth="1"/>
    <col min="9" max="9" width="9.140625" customWidth="1"/>
    <col min="10" max="10" width="17.85546875" bestFit="1" customWidth="1"/>
    <col min="11" max="11" width="43" customWidth="1"/>
    <col min="12" max="12" width="19" customWidth="1"/>
    <col min="13" max="13" width="20.85546875" customWidth="1"/>
    <col min="16" max="16" width="17.7109375" bestFit="1" customWidth="1"/>
  </cols>
  <sheetData>
    <row r="1" spans="1:10" ht="18.75" customHeight="1">
      <c r="A1" s="1674" t="s">
        <v>638</v>
      </c>
      <c r="B1" s="1674"/>
      <c r="C1" s="1674"/>
      <c r="D1" s="1602"/>
      <c r="E1" s="1601"/>
    </row>
    <row r="2" spans="1:10" ht="15.75" thickBot="1">
      <c r="A2" s="8"/>
    </row>
    <row r="3" spans="1:10" ht="16.5" thickBot="1">
      <c r="A3" s="1678" t="s">
        <v>602</v>
      </c>
      <c r="B3" s="1680"/>
      <c r="C3" s="1678" t="s">
        <v>121</v>
      </c>
      <c r="D3" s="1679"/>
      <c r="E3" s="1679"/>
      <c r="F3" s="1680"/>
      <c r="H3" s="1486" t="s">
        <v>154</v>
      </c>
      <c r="I3" s="1677" t="s">
        <v>486</v>
      </c>
      <c r="J3" s="1677"/>
    </row>
    <row r="4" spans="1:10" ht="15.75" thickBot="1">
      <c r="H4" s="1486" t="s">
        <v>601</v>
      </c>
      <c r="I4" s="1487"/>
      <c r="J4" s="1487"/>
    </row>
    <row r="5" spans="1:10" s="14" customFormat="1" ht="15.75" thickBot="1">
      <c r="A5" s="47" t="s">
        <v>35</v>
      </c>
      <c r="B5" s="48" t="s">
        <v>603</v>
      </c>
      <c r="C5" s="49" t="s">
        <v>14</v>
      </c>
      <c r="D5" s="49" t="s">
        <v>36</v>
      </c>
      <c r="E5" s="49" t="s">
        <v>37</v>
      </c>
      <c r="F5" s="50" t="s">
        <v>604</v>
      </c>
      <c r="G5" s="402"/>
      <c r="H5" s="47" t="s">
        <v>48</v>
      </c>
      <c r="I5" s="483"/>
      <c r="J5" s="47" t="s">
        <v>74</v>
      </c>
    </row>
    <row r="6" spans="1:10" ht="15.75" thickBot="1">
      <c r="A6" s="198" t="s">
        <v>49</v>
      </c>
      <c r="B6" s="199" t="s">
        <v>339</v>
      </c>
      <c r="C6" s="200" t="s">
        <v>34</v>
      </c>
      <c r="D6" s="200" t="s">
        <v>34</v>
      </c>
      <c r="E6" s="200" t="s">
        <v>34</v>
      </c>
      <c r="F6" s="201" t="s">
        <v>34</v>
      </c>
      <c r="H6" s="485" t="s">
        <v>34</v>
      </c>
      <c r="I6" s="1"/>
      <c r="J6" s="486" t="s">
        <v>34</v>
      </c>
    </row>
    <row r="7" spans="1:10" ht="15.75" thickBot="1">
      <c r="A7" s="193" t="s">
        <v>81</v>
      </c>
      <c r="B7" s="194" t="s">
        <v>104</v>
      </c>
      <c r="C7" s="195" t="s">
        <v>105</v>
      </c>
      <c r="D7" s="195">
        <f>SUM(D8:D13)</f>
        <v>10</v>
      </c>
      <c r="E7" s="216" t="s">
        <v>34</v>
      </c>
      <c r="F7" s="205">
        <f>SUM(F8:F13)</f>
        <v>13931208</v>
      </c>
      <c r="H7" s="480">
        <f>F7*0.21</f>
        <v>2925553.6799999997</v>
      </c>
      <c r="I7" s="1"/>
      <c r="J7" s="482">
        <f>F7+H7</f>
        <v>16856761.68</v>
      </c>
    </row>
    <row r="8" spans="1:10" ht="18" customHeight="1">
      <c r="A8" s="202" t="s">
        <v>106</v>
      </c>
      <c r="B8" s="1248" t="s">
        <v>561</v>
      </c>
      <c r="C8" s="203" t="s">
        <v>105</v>
      </c>
      <c r="D8" s="761">
        <v>2</v>
      </c>
      <c r="E8" s="1488">
        <v>149538</v>
      </c>
      <c r="F8" s="204">
        <f>D8*E8</f>
        <v>299076</v>
      </c>
      <c r="H8" s="479">
        <f>F8*0.21</f>
        <v>62805.96</v>
      </c>
      <c r="J8" s="481">
        <f>F8+H8</f>
        <v>361881.96</v>
      </c>
    </row>
    <row r="9" spans="1:10">
      <c r="A9" s="188" t="s">
        <v>107</v>
      </c>
      <c r="B9" s="1249" t="s">
        <v>562</v>
      </c>
      <c r="C9" s="187" t="s">
        <v>105</v>
      </c>
      <c r="D9" s="761">
        <v>3</v>
      </c>
      <c r="E9" s="1489">
        <v>95184</v>
      </c>
      <c r="F9" s="204">
        <f t="shared" ref="F9:F13" si="0">D9*E9</f>
        <v>285552</v>
      </c>
      <c r="H9" s="474">
        <f t="shared" ref="H9:H13" si="1">F9*0.21</f>
        <v>59965.919999999998</v>
      </c>
      <c r="J9" s="82">
        <f t="shared" ref="J9:J13" si="2">F9+H9</f>
        <v>345517.92</v>
      </c>
    </row>
    <row r="10" spans="1:10" ht="18.75" customHeight="1">
      <c r="A10" s="188" t="s">
        <v>108</v>
      </c>
      <c r="B10" s="1249" t="s">
        <v>422</v>
      </c>
      <c r="C10" s="187" t="s">
        <v>105</v>
      </c>
      <c r="D10" s="761">
        <v>1</v>
      </c>
      <c r="E10" s="1489">
        <v>135750</v>
      </c>
      <c r="F10" s="204">
        <f t="shared" si="0"/>
        <v>135750</v>
      </c>
      <c r="H10" s="474">
        <f t="shared" si="1"/>
        <v>28507.5</v>
      </c>
      <c r="J10" s="82">
        <f t="shared" si="2"/>
        <v>164257.5</v>
      </c>
    </row>
    <row r="11" spans="1:10" ht="17.25" customHeight="1">
      <c r="A11" s="188" t="s">
        <v>109</v>
      </c>
      <c r="B11" s="1249" t="s">
        <v>423</v>
      </c>
      <c r="C11" s="187" t="s">
        <v>38</v>
      </c>
      <c r="D11" s="761">
        <v>1</v>
      </c>
      <c r="E11" s="1489">
        <v>12699180</v>
      </c>
      <c r="F11" s="204">
        <f t="shared" si="0"/>
        <v>12699180</v>
      </c>
      <c r="H11" s="474">
        <f t="shared" si="1"/>
        <v>2666827.7999999998</v>
      </c>
      <c r="J11" s="82">
        <f t="shared" si="2"/>
        <v>15366007.800000001</v>
      </c>
    </row>
    <row r="12" spans="1:10" ht="18" customHeight="1">
      <c r="A12" s="202" t="s">
        <v>110</v>
      </c>
      <c r="B12" s="1250" t="s">
        <v>424</v>
      </c>
      <c r="C12" s="203" t="s">
        <v>105</v>
      </c>
      <c r="D12" s="762">
        <v>2</v>
      </c>
      <c r="E12" s="1489">
        <v>66000</v>
      </c>
      <c r="F12" s="204">
        <f t="shared" si="0"/>
        <v>132000</v>
      </c>
      <c r="H12" s="474">
        <f t="shared" si="1"/>
        <v>27720</v>
      </c>
      <c r="J12" s="82">
        <f t="shared" si="2"/>
        <v>159720</v>
      </c>
    </row>
    <row r="13" spans="1:10" ht="18" customHeight="1" thickBot="1">
      <c r="A13" s="188" t="s">
        <v>153</v>
      </c>
      <c r="B13" s="1251" t="s">
        <v>425</v>
      </c>
      <c r="C13" s="187" t="s">
        <v>105</v>
      </c>
      <c r="D13" s="762">
        <v>1</v>
      </c>
      <c r="E13" s="1490">
        <v>379650</v>
      </c>
      <c r="F13" s="204">
        <f t="shared" si="0"/>
        <v>379650</v>
      </c>
      <c r="H13" s="474">
        <f t="shared" si="1"/>
        <v>79726.5</v>
      </c>
      <c r="J13" s="82">
        <f t="shared" si="2"/>
        <v>459376.5</v>
      </c>
    </row>
    <row r="14" spans="1:10" ht="15.75" thickBot="1">
      <c r="A14" s="193" t="s">
        <v>76</v>
      </c>
      <c r="B14" s="194" t="s">
        <v>152</v>
      </c>
      <c r="C14" s="195" t="s">
        <v>105</v>
      </c>
      <c r="D14" s="195">
        <f>D15</f>
        <v>0</v>
      </c>
      <c r="E14" s="196">
        <f>E15</f>
        <v>0</v>
      </c>
      <c r="F14" s="197">
        <f>D14*E14</f>
        <v>0</v>
      </c>
      <c r="H14" s="475">
        <f>F14*0.21</f>
        <v>0</v>
      </c>
      <c r="I14" s="484"/>
      <c r="J14" s="290">
        <f>F14+H14</f>
        <v>0</v>
      </c>
    </row>
    <row r="15" spans="1:10" ht="15.75" thickBot="1">
      <c r="A15" s="188" t="s">
        <v>303</v>
      </c>
      <c r="B15" s="1378" t="s">
        <v>152</v>
      </c>
      <c r="C15" s="187" t="s">
        <v>105</v>
      </c>
      <c r="D15" s="762">
        <v>0</v>
      </c>
      <c r="E15" s="763">
        <v>0</v>
      </c>
      <c r="F15" s="204">
        <f>D15*E15</f>
        <v>0</v>
      </c>
      <c r="H15" s="474">
        <f>F15*0.21</f>
        <v>0</v>
      </c>
      <c r="J15" s="82">
        <f>F15+H15</f>
        <v>0</v>
      </c>
    </row>
    <row r="16" spans="1:10" ht="15.75" thickBot="1">
      <c r="A16" s="217" t="s">
        <v>111</v>
      </c>
      <c r="B16" s="199" t="s">
        <v>55</v>
      </c>
      <c r="C16" s="218" t="s">
        <v>105</v>
      </c>
      <c r="D16" s="218">
        <f>D7+D14</f>
        <v>10</v>
      </c>
      <c r="E16" s="219" t="s">
        <v>34</v>
      </c>
      <c r="F16" s="220">
        <f>F7+F14</f>
        <v>13931208</v>
      </c>
      <c r="H16" s="476">
        <f>F16*0.21</f>
        <v>2925553.6799999997</v>
      </c>
      <c r="I16" s="484"/>
      <c r="J16" s="220">
        <f>F16+H16</f>
        <v>16856761.68</v>
      </c>
    </row>
    <row r="17" spans="1:13" ht="15" customHeight="1" thickBot="1">
      <c r="A17" s="224" t="s">
        <v>77</v>
      </c>
      <c r="B17" s="225" t="s">
        <v>56</v>
      </c>
      <c r="C17" s="226" t="s">
        <v>38</v>
      </c>
      <c r="D17" s="226">
        <v>1</v>
      </c>
      <c r="E17" s="227" t="s">
        <v>34</v>
      </c>
      <c r="F17" s="228">
        <f>SUM(F18:F22)</f>
        <v>3171183.6799999997</v>
      </c>
      <c r="H17" s="477" t="s">
        <v>34</v>
      </c>
      <c r="I17" s="484"/>
      <c r="J17" s="190" t="s">
        <v>34</v>
      </c>
    </row>
    <row r="18" spans="1:13" ht="15" customHeight="1">
      <c r="A18" s="221" t="s">
        <v>78</v>
      </c>
      <c r="B18" s="222" t="s">
        <v>304</v>
      </c>
      <c r="C18" s="191" t="s">
        <v>38</v>
      </c>
      <c r="D18" s="191">
        <v>1</v>
      </c>
      <c r="E18" s="223">
        <f>E31</f>
        <v>2925553.6799999997</v>
      </c>
      <c r="F18" s="192">
        <f>E18</f>
        <v>2925553.6799999997</v>
      </c>
      <c r="H18" s="478" t="s">
        <v>34</v>
      </c>
      <c r="I18" s="484"/>
      <c r="J18" s="190" t="s">
        <v>34</v>
      </c>
    </row>
    <row r="19" spans="1:13" ht="15" customHeight="1">
      <c r="A19" s="221" t="s">
        <v>112</v>
      </c>
      <c r="B19" s="222" t="s">
        <v>305</v>
      </c>
      <c r="C19" s="191" t="s">
        <v>38</v>
      </c>
      <c r="D19" s="191">
        <v>1</v>
      </c>
      <c r="E19" s="223">
        <f>E34</f>
        <v>42630</v>
      </c>
      <c r="F19" s="192">
        <f>D19*E19</f>
        <v>42630</v>
      </c>
      <c r="H19" s="478" t="s">
        <v>34</v>
      </c>
      <c r="I19" s="484"/>
      <c r="J19" s="190" t="s">
        <v>34</v>
      </c>
    </row>
    <row r="20" spans="1:13" ht="15" customHeight="1">
      <c r="A20" s="79" t="s">
        <v>112</v>
      </c>
      <c r="B20" s="189" t="s">
        <v>52</v>
      </c>
      <c r="C20" s="185" t="s">
        <v>38</v>
      </c>
      <c r="D20" s="185">
        <v>1</v>
      </c>
      <c r="E20" s="81">
        <v>3000</v>
      </c>
      <c r="F20" s="186">
        <f>D20*E20</f>
        <v>3000</v>
      </c>
      <c r="H20" s="474">
        <f>F20*0.21</f>
        <v>630</v>
      </c>
      <c r="I20" s="21"/>
      <c r="J20" s="82">
        <f>F20+H20</f>
        <v>3630</v>
      </c>
    </row>
    <row r="21" spans="1:13" ht="15" customHeight="1">
      <c r="A21" s="79" t="s">
        <v>113</v>
      </c>
      <c r="B21" s="189" t="s">
        <v>73</v>
      </c>
      <c r="C21" s="185" t="s">
        <v>38</v>
      </c>
      <c r="D21" s="185">
        <v>1</v>
      </c>
      <c r="E21" s="81">
        <v>130000</v>
      </c>
      <c r="F21" s="186">
        <f>D21*E21</f>
        <v>130000</v>
      </c>
      <c r="H21" s="474">
        <f>F21*0.21</f>
        <v>27300</v>
      </c>
      <c r="I21" s="21"/>
      <c r="J21" s="82">
        <f>F21+H21</f>
        <v>157300</v>
      </c>
      <c r="K21" s="1"/>
      <c r="L21" s="1"/>
    </row>
    <row r="22" spans="1:13" ht="15" customHeight="1" thickBot="1">
      <c r="A22" s="79" t="s">
        <v>114</v>
      </c>
      <c r="B22" s="189" t="s">
        <v>547</v>
      </c>
      <c r="C22" s="185" t="s">
        <v>38</v>
      </c>
      <c r="D22" s="185">
        <v>1</v>
      </c>
      <c r="E22" s="81">
        <v>70000</v>
      </c>
      <c r="F22" s="186">
        <f>D22*E22</f>
        <v>70000</v>
      </c>
      <c r="H22" s="474">
        <f>F22*0.21</f>
        <v>14700</v>
      </c>
      <c r="I22" s="21"/>
      <c r="J22" s="82">
        <f>F22+H22</f>
        <v>84700</v>
      </c>
      <c r="K22" s="1"/>
      <c r="L22" s="21"/>
    </row>
    <row r="23" spans="1:13" ht="15" customHeight="1" thickBot="1">
      <c r="A23" s="51" t="s">
        <v>79</v>
      </c>
      <c r="B23" s="178" t="s">
        <v>39</v>
      </c>
      <c r="C23" s="179" t="s">
        <v>34</v>
      </c>
      <c r="D23" s="180" t="s">
        <v>34</v>
      </c>
      <c r="E23" s="180" t="s">
        <v>34</v>
      </c>
      <c r="F23" s="181">
        <f>F16+F17</f>
        <v>17102391.68</v>
      </c>
      <c r="H23" s="1068" t="s">
        <v>34</v>
      </c>
      <c r="I23" s="1"/>
      <c r="J23" s="1069" t="s">
        <v>34</v>
      </c>
    </row>
    <row r="24" spans="1:13" ht="15.75" thickBot="1">
      <c r="A24" s="80" t="s">
        <v>80</v>
      </c>
      <c r="B24" s="182" t="s">
        <v>54</v>
      </c>
      <c r="C24" s="183" t="s">
        <v>540</v>
      </c>
      <c r="D24" s="389">
        <v>0.35</v>
      </c>
      <c r="E24" s="183" t="s">
        <v>34</v>
      </c>
      <c r="F24" s="184">
        <f>F16*0.35</f>
        <v>4875922.8</v>
      </c>
      <c r="G24" s="406"/>
      <c r="H24" s="1070" t="s">
        <v>34</v>
      </c>
      <c r="I24" s="1071"/>
      <c r="J24" s="1072" t="s">
        <v>34</v>
      </c>
    </row>
    <row r="25" spans="1:13" ht="16.5" customHeight="1">
      <c r="A25" s="1390"/>
      <c r="M25" s="765"/>
    </row>
    <row r="26" spans="1:13" ht="15.75" thickBot="1">
      <c r="L26" s="69"/>
    </row>
    <row r="27" spans="1:13" ht="15.75" thickBot="1">
      <c r="A27" s="15"/>
      <c r="B27" s="1681" t="s">
        <v>50</v>
      </c>
      <c r="C27" s="1676"/>
      <c r="D27" s="14"/>
      <c r="E27" s="16"/>
      <c r="F27" s="17"/>
      <c r="G27" s="17"/>
      <c r="H27" s="18"/>
    </row>
    <row r="28" spans="1:13" ht="15.75" thickBot="1">
      <c r="B28" s="20"/>
      <c r="C28" s="487"/>
      <c r="I28" s="14"/>
      <c r="K28" s="1325" t="s">
        <v>199</v>
      </c>
      <c r="L28" s="49" t="s">
        <v>1</v>
      </c>
      <c r="M28" s="50" t="s">
        <v>46</v>
      </c>
    </row>
    <row r="29" spans="1:13" ht="15.75" thickBot="1">
      <c r="B29" s="47" t="s">
        <v>548</v>
      </c>
      <c r="C29" s="1350" t="s">
        <v>48</v>
      </c>
      <c r="D29" s="1675" t="s">
        <v>541</v>
      </c>
      <c r="E29" s="1676"/>
      <c r="K29" s="1379" t="s">
        <v>218</v>
      </c>
      <c r="L29" s="567">
        <f>F23</f>
        <v>17102391.68</v>
      </c>
      <c r="M29" s="568">
        <f>L29/F23</f>
        <v>1</v>
      </c>
    </row>
    <row r="30" spans="1:13">
      <c r="B30" s="1332" t="s">
        <v>483</v>
      </c>
      <c r="C30" s="1333">
        <f>H7</f>
        <v>2925553.6799999997</v>
      </c>
      <c r="K30" s="1380" t="s">
        <v>306</v>
      </c>
      <c r="L30" s="569">
        <f>F24</f>
        <v>4875922.8</v>
      </c>
      <c r="M30" s="570">
        <f>L30/F23</f>
        <v>0.28510180863779633</v>
      </c>
    </row>
    <row r="31" spans="1:13" ht="15.75" thickBot="1">
      <c r="B31" s="1334" t="s">
        <v>484</v>
      </c>
      <c r="C31" s="1335">
        <f>H14</f>
        <v>0</v>
      </c>
      <c r="D31" s="1383" t="s">
        <v>542</v>
      </c>
      <c r="E31" s="1377">
        <f>C30+C31</f>
        <v>2925553.6799999997</v>
      </c>
      <c r="K31" s="1381" t="s">
        <v>219</v>
      </c>
      <c r="L31" s="571">
        <f>L29-L30</f>
        <v>12226468.879999999</v>
      </c>
      <c r="M31" s="572">
        <f>L31/L29</f>
        <v>0.71489819136220367</v>
      </c>
    </row>
    <row r="32" spans="1:13" ht="15.75" thickBot="1">
      <c r="B32" s="1327" t="s">
        <v>545</v>
      </c>
      <c r="C32" s="1328">
        <f>H20</f>
        <v>630</v>
      </c>
      <c r="D32" s="1376"/>
      <c r="K32" s="1382" t="s">
        <v>89</v>
      </c>
      <c r="L32" s="774">
        <f>L31+L30</f>
        <v>17102391.68</v>
      </c>
      <c r="M32" s="775">
        <f>SUM(M30:M31)</f>
        <v>1</v>
      </c>
    </row>
    <row r="33" spans="1:13">
      <c r="B33" s="1329" t="s">
        <v>485</v>
      </c>
      <c r="C33" s="1328">
        <f>H21</f>
        <v>27300</v>
      </c>
      <c r="D33" s="1376"/>
      <c r="E33" s="64"/>
    </row>
    <row r="34" spans="1:13" ht="15.75" thickBot="1">
      <c r="B34" s="1330" t="s">
        <v>546</v>
      </c>
      <c r="C34" s="1331">
        <f>H22</f>
        <v>14700</v>
      </c>
      <c r="D34" s="1383" t="s">
        <v>543</v>
      </c>
      <c r="E34" s="1377">
        <f>SUM(C32:C34)</f>
        <v>42630</v>
      </c>
      <c r="F34" s="64"/>
    </row>
    <row r="35" spans="1:13" ht="15" customHeight="1" thickBot="1">
      <c r="B35" s="922" t="s">
        <v>51</v>
      </c>
      <c r="C35" s="923">
        <f>SUM(C30:C34)</f>
        <v>2968183.6799999997</v>
      </c>
      <c r="D35" s="1383" t="s">
        <v>544</v>
      </c>
      <c r="E35" s="1377">
        <f>E31+E34</f>
        <v>2968183.6799999997</v>
      </c>
      <c r="K35" s="1325" t="s">
        <v>201</v>
      </c>
      <c r="L35" s="1326" t="s">
        <v>1</v>
      </c>
      <c r="M35" s="50" t="s">
        <v>46</v>
      </c>
    </row>
    <row r="36" spans="1:13">
      <c r="K36" s="521" t="s">
        <v>198</v>
      </c>
      <c r="L36" s="766">
        <f>F16+F20</f>
        <v>13934208</v>
      </c>
      <c r="M36" s="768">
        <f>L36/(F16+F20)</f>
        <v>1</v>
      </c>
    </row>
    <row r="37" spans="1:13">
      <c r="K37" s="764" t="s">
        <v>231</v>
      </c>
      <c r="L37" s="767">
        <f>F24</f>
        <v>4875922.8</v>
      </c>
      <c r="M37" s="769">
        <f>L37/L36</f>
        <v>0.34992464587868932</v>
      </c>
    </row>
    <row r="38" spans="1:13" ht="15.75" thickBot="1">
      <c r="A38" s="1390" t="s">
        <v>667</v>
      </c>
      <c r="K38" s="770" t="s">
        <v>246</v>
      </c>
      <c r="L38" s="771">
        <f>'Investiční náklady_vznik'!D31-'Položkový rozpočet projektu'!F24</f>
        <v>9058285.1999999993</v>
      </c>
      <c r="M38" s="772">
        <f>L38/L36</f>
        <v>0.65007535412131057</v>
      </c>
    </row>
    <row r="39" spans="1:13" ht="15.75" thickBot="1">
      <c r="K39" s="773" t="s">
        <v>89</v>
      </c>
      <c r="L39" s="776">
        <f>L38+L37</f>
        <v>13934208</v>
      </c>
      <c r="M39" s="775">
        <f>SUM(M37:M38)</f>
        <v>0.99999999999999989</v>
      </c>
    </row>
  </sheetData>
  <protectedRanges>
    <protectedRange algorithmName="SHA-512" hashValue="pC55h+C2N7OmUoL0cUGo3QU+k4GNXD32fez4vdAR69xU1Z5BPXE1TKSvHrG+HSEyR+citbCA+544bgCt8UAltw==" saltValue="Wpz4p4BihJEvh/Q0WSTtVA==" spinCount="100000" sqref="B18:J22 C8:D13 F8:J13" name="Rozpočet"/>
    <protectedRange algorithmName="SHA-512" hashValue="pC55h+C2N7OmUoL0cUGo3QU+k4GNXD32fez4vdAR69xU1Z5BPXE1TKSvHrG+HSEyR+citbCA+544bgCt8UAltw==" saltValue="Wpz4p4BihJEvh/Q0WSTtVA==" spinCount="100000" sqref="B8:B13" name="Rozpočet_2"/>
    <protectedRange algorithmName="SHA-512" hashValue="pC55h+C2N7OmUoL0cUGo3QU+k4GNXD32fez4vdAR69xU1Z5BPXE1TKSvHrG+HSEyR+citbCA+544bgCt8UAltw==" saltValue="Wpz4p4BihJEvh/Q0WSTtVA==" spinCount="100000" sqref="E8:E13" name="Rozpočet_2_1"/>
  </protectedRanges>
  <mergeCells count="6">
    <mergeCell ref="A1:C1"/>
    <mergeCell ref="D29:E29"/>
    <mergeCell ref="I3:J3"/>
    <mergeCell ref="C3:F3"/>
    <mergeCell ref="B27:C27"/>
    <mergeCell ref="A3:B3"/>
  </mergeCells>
  <pageMargins left="0.7" right="0.7" top="0.78740157499999996" bottom="0.78740157499999996" header="0.3" footer="0.3"/>
  <pageSetup paperSize="9" scale="75" orientation="landscape" horizontalDpi="200" verticalDpi="200" r:id="rId1"/>
  <ignoredErrors>
    <ignoredError sqref="A8:A13 A15" twoDigitTextYear="1"/>
    <ignoredError sqref="A17 A6 A24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X72"/>
  <sheetViews>
    <sheetView showGridLines="0" zoomScale="90" zoomScaleNormal="90" workbookViewId="0">
      <selection activeCell="T38" sqref="T38"/>
    </sheetView>
  </sheetViews>
  <sheetFormatPr defaultColWidth="9.140625" defaultRowHeight="15"/>
  <cols>
    <col min="1" max="1" width="80.42578125" style="2" customWidth="1"/>
    <col min="2" max="8" width="9.7109375" style="2" customWidth="1"/>
    <col min="9" max="9" width="11" style="2" customWidth="1"/>
    <col min="10" max="10" width="9.7109375" style="2" customWidth="1"/>
    <col min="11" max="11" width="13.28515625" style="2" customWidth="1"/>
    <col min="12" max="12" width="9.7109375" style="2" customWidth="1"/>
    <col min="13" max="13" width="30.42578125" style="2" customWidth="1"/>
    <col min="14" max="14" width="28" style="2" customWidth="1"/>
    <col min="15" max="15" width="15.28515625" style="2" customWidth="1"/>
    <col min="16" max="16" width="15.7109375" style="2" customWidth="1"/>
    <col min="17" max="17" width="21.28515625" style="2" customWidth="1"/>
    <col min="18" max="18" width="19" style="2" customWidth="1"/>
    <col min="19" max="19" width="18.85546875" style="2" customWidth="1"/>
    <col min="20" max="20" width="16.85546875" style="2" customWidth="1"/>
    <col min="21" max="21" width="15.7109375" style="2" customWidth="1"/>
    <col min="22" max="22" width="11.85546875" style="2" customWidth="1"/>
    <col min="23" max="16384" width="9.140625" style="2"/>
  </cols>
  <sheetData>
    <row r="1" spans="1:24" ht="15.75">
      <c r="A1" s="1604" t="str">
        <f>'Položkový rozpočet projektu'!A1:A1</f>
        <v>Modelový projekt: "Zvýšení technologické vybavenosti společnosti Šroub &amp; Matka, spol. s r.o. v Ostravě"</v>
      </c>
      <c r="B1" s="1608"/>
      <c r="C1" s="1609"/>
    </row>
    <row r="2" spans="1:24" ht="18.75">
      <c r="A2"/>
      <c r="B2"/>
      <c r="P2" s="1051"/>
      <c r="Q2" s="1052"/>
      <c r="R2" s="1052" t="s">
        <v>377</v>
      </c>
      <c r="S2" s="1052"/>
      <c r="T2" s="1052"/>
      <c r="U2" s="1052"/>
      <c r="V2" s="1052"/>
      <c r="W2" s="1052"/>
      <c r="X2" s="1052"/>
    </row>
    <row r="3" spans="1:24" ht="21.75" thickBot="1">
      <c r="A3" s="2018" t="s">
        <v>520</v>
      </c>
      <c r="B3" s="2019"/>
      <c r="C3" s="2019"/>
      <c r="D3" s="2019"/>
      <c r="E3" s="2019"/>
      <c r="F3" s="2019"/>
      <c r="G3" s="2019"/>
      <c r="H3" s="2019"/>
      <c r="I3" s="2019"/>
      <c r="J3" s="2019"/>
      <c r="K3" s="2019"/>
      <c r="L3" s="2019"/>
      <c r="M3" s="2019"/>
      <c r="N3" s="2019"/>
    </row>
    <row r="4" spans="1:24" ht="16.5" thickBot="1">
      <c r="A4" s="43"/>
      <c r="P4" s="1932" t="s">
        <v>529</v>
      </c>
      <c r="Q4" s="1933"/>
      <c r="R4" s="1933"/>
      <c r="S4" s="1933"/>
      <c r="T4" s="1933"/>
      <c r="U4" s="1934"/>
      <c r="V4" s="1048" t="s">
        <v>134</v>
      </c>
      <c r="W4" s="1049"/>
      <c r="X4" s="1050"/>
    </row>
    <row r="5" spans="1:24" ht="15.75" customHeight="1" thickBot="1">
      <c r="A5" s="760" t="s">
        <v>654</v>
      </c>
      <c r="O5" s="331"/>
      <c r="P5" s="294">
        <v>2025</v>
      </c>
      <c r="Q5" s="295">
        <v>2026</v>
      </c>
      <c r="R5" s="296">
        <v>2027</v>
      </c>
      <c r="S5" s="295">
        <v>2028</v>
      </c>
      <c r="T5" s="296">
        <v>2029</v>
      </c>
      <c r="U5" s="295">
        <v>2030</v>
      </c>
      <c r="V5" s="2009" t="s">
        <v>682</v>
      </c>
      <c r="W5" s="2010"/>
      <c r="X5" s="2011"/>
    </row>
    <row r="6" spans="1:24" ht="16.5" thickBot="1">
      <c r="A6" s="2001" t="s">
        <v>521</v>
      </c>
      <c r="B6" s="1942" t="s">
        <v>14</v>
      </c>
      <c r="C6" s="1362">
        <v>2021</v>
      </c>
      <c r="D6" s="1363">
        <v>2022</v>
      </c>
      <c r="E6" s="1364">
        <v>2023</v>
      </c>
      <c r="F6" s="1363">
        <v>2024</v>
      </c>
      <c r="G6" s="1365">
        <v>2025</v>
      </c>
      <c r="H6" s="1366">
        <v>2026</v>
      </c>
      <c r="I6" s="1366">
        <v>2027</v>
      </c>
      <c r="J6" s="1366">
        <v>2028</v>
      </c>
      <c r="K6" s="1366">
        <v>2029</v>
      </c>
      <c r="L6" s="1366">
        <v>2030</v>
      </c>
      <c r="M6" s="2007" t="s">
        <v>694</v>
      </c>
      <c r="N6" s="2020" t="s">
        <v>695</v>
      </c>
      <c r="O6" s="331" t="s">
        <v>14</v>
      </c>
      <c r="P6" s="301" t="s">
        <v>135</v>
      </c>
      <c r="Q6" s="302" t="s">
        <v>177</v>
      </c>
      <c r="R6" s="303" t="s">
        <v>178</v>
      </c>
      <c r="S6" s="303" t="s">
        <v>179</v>
      </c>
      <c r="T6" s="303" t="s">
        <v>180</v>
      </c>
      <c r="U6" s="302" t="s">
        <v>181</v>
      </c>
      <c r="V6" s="2012"/>
      <c r="W6" s="2013"/>
      <c r="X6" s="2014"/>
    </row>
    <row r="7" spans="1:24" ht="16.5" thickBot="1">
      <c r="A7" s="2002"/>
      <c r="B7" s="1943"/>
      <c r="C7" s="1358" t="s">
        <v>325</v>
      </c>
      <c r="D7" s="1358" t="s">
        <v>324</v>
      </c>
      <c r="E7" s="1359" t="s">
        <v>323</v>
      </c>
      <c r="F7" s="1358" t="s">
        <v>327</v>
      </c>
      <c r="G7" s="1360" t="s">
        <v>135</v>
      </c>
      <c r="H7" s="1361" t="s">
        <v>177</v>
      </c>
      <c r="I7" s="1361" t="s">
        <v>178</v>
      </c>
      <c r="J7" s="1361" t="s">
        <v>179</v>
      </c>
      <c r="K7" s="1361" t="s">
        <v>180</v>
      </c>
      <c r="L7" s="1361" t="s">
        <v>181</v>
      </c>
      <c r="M7" s="2008"/>
      <c r="N7" s="2021"/>
      <c r="O7" s="331" t="s">
        <v>136</v>
      </c>
      <c r="P7" s="1046">
        <f t="shared" ref="P7:U7" si="0">G8-F8</f>
        <v>22006.729166666657</v>
      </c>
      <c r="Q7" s="1046">
        <f t="shared" si="0"/>
        <v>35731.220833333355</v>
      </c>
      <c r="R7" s="1046">
        <f t="shared" si="0"/>
        <v>22794.199999999983</v>
      </c>
      <c r="S7" s="1046">
        <f t="shared" si="0"/>
        <v>22794.199999999983</v>
      </c>
      <c r="T7" s="1046">
        <f t="shared" si="0"/>
        <v>22794.200000000012</v>
      </c>
      <c r="U7" s="1046">
        <f t="shared" si="0"/>
        <v>22794.200000000012</v>
      </c>
      <c r="V7" s="2015">
        <f>AVERAGE(Q7:U7)</f>
        <v>25381.604166666668</v>
      </c>
      <c r="W7" s="2016"/>
      <c r="X7" s="2017"/>
    </row>
    <row r="8" spans="1:24" ht="16.5" thickBot="1">
      <c r="A8" s="2003"/>
      <c r="B8" s="309" t="s">
        <v>45</v>
      </c>
      <c r="C8" s="310">
        <f>'Zakl. ekon. ukazatele'!D9</f>
        <v>108355</v>
      </c>
      <c r="D8" s="310">
        <f>'Zakl. ekon. ukazatele'!E9</f>
        <v>137500</v>
      </c>
      <c r="E8" s="311">
        <f>'Zakl. ekon. ukazatele'!F9</f>
        <v>134995</v>
      </c>
      <c r="F8" s="310">
        <f>'Zakl. ekon. ukazatele'!G9</f>
        <v>162299</v>
      </c>
      <c r="G8" s="418">
        <f>'Zakl. ekon. ukazatele'!H9</f>
        <v>184305.72916666666</v>
      </c>
      <c r="H8" s="312">
        <f>'Zakl. ekon. ukazatele'!I9</f>
        <v>220036.95</v>
      </c>
      <c r="I8" s="312">
        <f>'Zakl. ekon. ukazatele'!J9</f>
        <v>242831.15</v>
      </c>
      <c r="J8" s="312">
        <f>'Zakl. ekon. ukazatele'!K9</f>
        <v>265625.34999999998</v>
      </c>
      <c r="K8" s="312">
        <f>'Zakl. ekon. ukazatele'!L9</f>
        <v>288419.55</v>
      </c>
      <c r="L8" s="312">
        <f>'Zakl. ekon. ukazatele'!M9</f>
        <v>311213.75</v>
      </c>
      <c r="M8" s="313">
        <f>((H8-G8)+(I8-H8)+(J8-I8)+(K8-J8)+(L8-K8))/5</f>
        <v>25381.604166666668</v>
      </c>
      <c r="N8" s="1318">
        <f>V8</f>
        <v>9.8868706887897204</v>
      </c>
      <c r="O8" s="331" t="s">
        <v>46</v>
      </c>
      <c r="P8" s="1047">
        <f t="shared" ref="P8:U8" si="1">P7/G8*100</f>
        <v>11.940339166975159</v>
      </c>
      <c r="Q8" s="1047">
        <f t="shared" si="1"/>
        <v>16.23873664551947</v>
      </c>
      <c r="R8" s="1047">
        <f t="shared" si="1"/>
        <v>9.3868517280422967</v>
      </c>
      <c r="S8" s="1047">
        <f t="shared" si="1"/>
        <v>8.5813345751826713</v>
      </c>
      <c r="T8" s="1047">
        <f t="shared" si="1"/>
        <v>7.9031397143501589</v>
      </c>
      <c r="U8" s="1047">
        <f t="shared" si="1"/>
        <v>7.3242907808539979</v>
      </c>
      <c r="V8" s="2025">
        <f>AVERAGE(Q8:U8)</f>
        <v>9.8868706887897204</v>
      </c>
      <c r="W8" s="2026"/>
      <c r="X8" s="2027"/>
    </row>
    <row r="9" spans="1:24" ht="15.75" thickBot="1">
      <c r="A9" s="1342"/>
      <c r="B9" s="314"/>
      <c r="C9" s="315"/>
      <c r="D9" s="315"/>
      <c r="E9" s="314"/>
      <c r="F9" s="315"/>
      <c r="G9" s="315"/>
      <c r="H9" s="316"/>
      <c r="I9" s="316"/>
      <c r="J9" s="316"/>
      <c r="K9" s="316"/>
      <c r="L9" s="316"/>
      <c r="M9" s="314"/>
      <c r="N9" s="317"/>
      <c r="P9" s="1932" t="s">
        <v>530</v>
      </c>
      <c r="Q9" s="1933"/>
      <c r="R9" s="1933"/>
      <c r="S9" s="1933"/>
      <c r="T9" s="1933"/>
      <c r="U9" s="1934"/>
      <c r="V9" s="1048" t="s">
        <v>134</v>
      </c>
      <c r="W9" s="1049"/>
      <c r="X9" s="1050"/>
    </row>
    <row r="10" spans="1:24" ht="16.5" customHeight="1" thickBot="1">
      <c r="A10" s="2004" t="s">
        <v>522</v>
      </c>
      <c r="B10" s="1942" t="s">
        <v>14</v>
      </c>
      <c r="C10" s="1362">
        <v>2021</v>
      </c>
      <c r="D10" s="1363">
        <v>2022</v>
      </c>
      <c r="E10" s="1364">
        <v>2023</v>
      </c>
      <c r="F10" s="1363">
        <v>2024</v>
      </c>
      <c r="G10" s="1365">
        <v>2025</v>
      </c>
      <c r="H10" s="1366">
        <v>2026</v>
      </c>
      <c r="I10" s="1366">
        <v>2027</v>
      </c>
      <c r="J10" s="1366">
        <v>2028</v>
      </c>
      <c r="K10" s="1366">
        <v>2029</v>
      </c>
      <c r="L10" s="1366">
        <v>2030</v>
      </c>
      <c r="M10" s="2007" t="s">
        <v>694</v>
      </c>
      <c r="N10" s="2007" t="s">
        <v>694</v>
      </c>
      <c r="O10" s="331"/>
      <c r="P10" s="294">
        <v>2025</v>
      </c>
      <c r="Q10" s="295">
        <v>2026</v>
      </c>
      <c r="R10" s="296">
        <v>2027</v>
      </c>
      <c r="S10" s="295">
        <v>2028</v>
      </c>
      <c r="T10" s="296">
        <v>2029</v>
      </c>
      <c r="U10" s="295">
        <v>2030</v>
      </c>
      <c r="V10" s="2009" t="s">
        <v>682</v>
      </c>
      <c r="W10" s="2010"/>
      <c r="X10" s="2011"/>
    </row>
    <row r="11" spans="1:24" ht="16.5" thickBot="1">
      <c r="A11" s="2005"/>
      <c r="B11" s="1943"/>
      <c r="C11" s="297" t="s">
        <v>325</v>
      </c>
      <c r="D11" s="297" t="s">
        <v>324</v>
      </c>
      <c r="E11" s="298" t="s">
        <v>323</v>
      </c>
      <c r="F11" s="297" t="s">
        <v>327</v>
      </c>
      <c r="G11" s="299" t="s">
        <v>135</v>
      </c>
      <c r="H11" s="300" t="s">
        <v>177</v>
      </c>
      <c r="I11" s="300" t="s">
        <v>178</v>
      </c>
      <c r="J11" s="300" t="s">
        <v>179</v>
      </c>
      <c r="K11" s="300" t="s">
        <v>180</v>
      </c>
      <c r="L11" s="300" t="s">
        <v>181</v>
      </c>
      <c r="M11" s="2008"/>
      <c r="N11" s="2008"/>
      <c r="O11" s="331" t="s">
        <v>14</v>
      </c>
      <c r="P11" s="301" t="s">
        <v>135</v>
      </c>
      <c r="Q11" s="302" t="s">
        <v>177</v>
      </c>
      <c r="R11" s="303" t="s">
        <v>178</v>
      </c>
      <c r="S11" s="303" t="s">
        <v>179</v>
      </c>
      <c r="T11" s="303" t="s">
        <v>180</v>
      </c>
      <c r="U11" s="302" t="s">
        <v>181</v>
      </c>
      <c r="V11" s="2012"/>
      <c r="W11" s="2013"/>
      <c r="X11" s="2014"/>
    </row>
    <row r="12" spans="1:24" ht="16.5" thickBot="1">
      <c r="A12" s="2006"/>
      <c r="B12" s="309" t="s">
        <v>45</v>
      </c>
      <c r="C12" s="310">
        <f>C8</f>
        <v>108355</v>
      </c>
      <c r="D12" s="310">
        <f>D8</f>
        <v>137500</v>
      </c>
      <c r="E12" s="311">
        <f>E8</f>
        <v>134995</v>
      </c>
      <c r="F12" s="310">
        <f>'Zakl. ekon. ukazatele'!G25</f>
        <v>162299</v>
      </c>
      <c r="G12" s="318">
        <f>'Zakl. ekon. ukazatele'!H25</f>
        <v>183743.25</v>
      </c>
      <c r="H12" s="312">
        <f>'Zakl. ekon. ukazatele'!I25</f>
        <v>205187.5</v>
      </c>
      <c r="I12" s="312">
        <f>'Zakl. ekon. ukazatele'!J25</f>
        <v>226631.75</v>
      </c>
      <c r="J12" s="312">
        <f>'Zakl. ekon. ukazatele'!K25</f>
        <v>248076</v>
      </c>
      <c r="K12" s="312">
        <f>'Zakl. ekon. ukazatele'!L25</f>
        <v>269520.25</v>
      </c>
      <c r="L12" s="312">
        <f>'Zakl. ekon. ukazatele'!M25</f>
        <v>290964.5</v>
      </c>
      <c r="M12" s="313">
        <f>((H12-G12)+(I12-H12)+(J12-I12)+(K12-J12)+(L12-K12))/5</f>
        <v>21444.25</v>
      </c>
      <c r="N12" s="319">
        <f>V13</f>
        <v>8.7767884747354863</v>
      </c>
      <c r="O12" s="331" t="s">
        <v>136</v>
      </c>
      <c r="P12" s="1046">
        <f t="shared" ref="P12:U12" si="2">G12-F12</f>
        <v>21444.25</v>
      </c>
      <c r="Q12" s="1046">
        <f t="shared" si="2"/>
        <v>21444.25</v>
      </c>
      <c r="R12" s="1046">
        <f t="shared" si="2"/>
        <v>21444.25</v>
      </c>
      <c r="S12" s="1046">
        <f t="shared" si="2"/>
        <v>21444.25</v>
      </c>
      <c r="T12" s="1046">
        <f t="shared" si="2"/>
        <v>21444.25</v>
      </c>
      <c r="U12" s="1046">
        <f t="shared" si="2"/>
        <v>21444.25</v>
      </c>
      <c r="V12" s="2015">
        <f>AVERAGE(Q12:U12)</f>
        <v>21444.25</v>
      </c>
      <c r="W12" s="2016"/>
      <c r="X12" s="2017"/>
    </row>
    <row r="13" spans="1:24" ht="15.75" thickBot="1">
      <c r="A13" s="1342"/>
      <c r="B13" s="314"/>
      <c r="C13" s="315"/>
      <c r="D13" s="315"/>
      <c r="E13" s="314"/>
      <c r="F13" s="315"/>
      <c r="G13" s="315"/>
      <c r="H13" s="316"/>
      <c r="I13" s="316"/>
      <c r="J13" s="316"/>
      <c r="K13" s="316"/>
      <c r="L13" s="316"/>
      <c r="M13" s="314"/>
      <c r="N13" s="320"/>
      <c r="O13" s="331" t="s">
        <v>46</v>
      </c>
      <c r="P13" s="1047">
        <f t="shared" ref="P13:U13" si="3">P12/G12*100</f>
        <v>11.670768858175743</v>
      </c>
      <c r="Q13" s="1047">
        <f t="shared" si="3"/>
        <v>10.451050868108437</v>
      </c>
      <c r="R13" s="1047">
        <f t="shared" si="3"/>
        <v>9.4621561189021399</v>
      </c>
      <c r="S13" s="1047">
        <f t="shared" si="3"/>
        <v>8.6442259630113352</v>
      </c>
      <c r="T13" s="1047">
        <f t="shared" si="3"/>
        <v>7.9564522517324763</v>
      </c>
      <c r="U13" s="1047">
        <f t="shared" si="3"/>
        <v>7.370057171923035</v>
      </c>
      <c r="V13" s="2025">
        <f>AVERAGE(Q13:U13)</f>
        <v>8.7767884747354863</v>
      </c>
      <c r="W13" s="2026"/>
      <c r="X13" s="2027"/>
    </row>
    <row r="14" spans="1:24" ht="15.75" customHeight="1" thickBot="1">
      <c r="A14" s="2004" t="s">
        <v>523</v>
      </c>
      <c r="B14" s="1942" t="s">
        <v>14</v>
      </c>
      <c r="C14" s="1362">
        <v>2021</v>
      </c>
      <c r="D14" s="1363">
        <v>2022</v>
      </c>
      <c r="E14" s="1364">
        <v>2023</v>
      </c>
      <c r="F14" s="1363">
        <v>2024</v>
      </c>
      <c r="G14" s="1365">
        <v>2025</v>
      </c>
      <c r="H14" s="1366">
        <v>2026</v>
      </c>
      <c r="I14" s="1366">
        <v>2027</v>
      </c>
      <c r="J14" s="1366">
        <v>2028</v>
      </c>
      <c r="K14" s="1366">
        <v>2029</v>
      </c>
      <c r="L14" s="1366">
        <v>2030</v>
      </c>
      <c r="M14" s="2007" t="s">
        <v>694</v>
      </c>
      <c r="N14" s="2007" t="s">
        <v>694</v>
      </c>
      <c r="P14" s="1932" t="s">
        <v>531</v>
      </c>
      <c r="Q14" s="1933"/>
      <c r="R14" s="1933"/>
      <c r="S14" s="1933"/>
      <c r="T14" s="1933"/>
      <c r="U14" s="1934"/>
      <c r="V14" s="1048" t="s">
        <v>134</v>
      </c>
      <c r="W14" s="1049"/>
      <c r="X14" s="1050"/>
    </row>
    <row r="15" spans="1:24" ht="16.5" thickBot="1">
      <c r="A15" s="2005"/>
      <c r="B15" s="1943"/>
      <c r="C15" s="297" t="s">
        <v>325</v>
      </c>
      <c r="D15" s="297" t="s">
        <v>324</v>
      </c>
      <c r="E15" s="298" t="s">
        <v>323</v>
      </c>
      <c r="F15" s="297" t="s">
        <v>327</v>
      </c>
      <c r="G15" s="299" t="s">
        <v>135</v>
      </c>
      <c r="H15" s="1412" t="s">
        <v>177</v>
      </c>
      <c r="I15" s="300" t="s">
        <v>178</v>
      </c>
      <c r="J15" s="300" t="s">
        <v>179</v>
      </c>
      <c r="K15" s="300" t="s">
        <v>180</v>
      </c>
      <c r="L15" s="300" t="s">
        <v>181</v>
      </c>
      <c r="M15" s="2008"/>
      <c r="N15" s="2008"/>
      <c r="O15" s="331"/>
      <c r="P15" s="294">
        <v>2025</v>
      </c>
      <c r="Q15" s="295">
        <v>2026</v>
      </c>
      <c r="R15" s="296">
        <v>2027</v>
      </c>
      <c r="S15" s="295">
        <v>2028</v>
      </c>
      <c r="T15" s="296">
        <v>2029</v>
      </c>
      <c r="U15" s="295">
        <v>2030</v>
      </c>
      <c r="V15" s="2009" t="s">
        <v>682</v>
      </c>
      <c r="W15" s="2010"/>
      <c r="X15" s="2011"/>
    </row>
    <row r="16" spans="1:24" ht="17.25" thickTop="1" thickBot="1">
      <c r="A16" s="2006"/>
      <c r="B16" s="309" t="s">
        <v>45</v>
      </c>
      <c r="C16" s="322" t="s">
        <v>34</v>
      </c>
      <c r="D16" s="322" t="s">
        <v>34</v>
      </c>
      <c r="E16" s="311">
        <f>E12</f>
        <v>134995</v>
      </c>
      <c r="F16" s="322" t="str">
        <f>'Zakl. ekon. ukazatele'!G60</f>
        <v>-</v>
      </c>
      <c r="G16" s="1395">
        <f>'Zakl. ekon. ukazatele'!H60</f>
        <v>562.47916666666663</v>
      </c>
      <c r="H16" s="1422">
        <f>'Zakl. ekon. ukazatele'!I60</f>
        <v>14849.45</v>
      </c>
      <c r="I16" s="1411">
        <f>'Zakl. ekon. ukazatele'!J60</f>
        <v>16199.4</v>
      </c>
      <c r="J16" s="312">
        <f>'Zakl. ekon. ukazatele'!K60</f>
        <v>17549.349999999999</v>
      </c>
      <c r="K16" s="312">
        <f>'Zakl. ekon. ukazatele'!L60</f>
        <v>18899.3</v>
      </c>
      <c r="L16" s="312">
        <f>'Zakl. ekon. ukazatele'!M60</f>
        <v>20249.25</v>
      </c>
      <c r="M16" s="324">
        <f>((H16-G16)+(I16-H16)+(J16-I16)+(K16-J16)+(L16-K16))/5</f>
        <v>3937.354166666667</v>
      </c>
      <c r="N16" s="319">
        <f>V18</f>
        <v>6.4518814518814507</v>
      </c>
      <c r="O16" s="331" t="s">
        <v>14</v>
      </c>
      <c r="P16" s="301" t="s">
        <v>135</v>
      </c>
      <c r="Q16" s="302" t="s">
        <v>177</v>
      </c>
      <c r="R16" s="303" t="s">
        <v>178</v>
      </c>
      <c r="S16" s="303" t="s">
        <v>179</v>
      </c>
      <c r="T16" s="303" t="s">
        <v>180</v>
      </c>
      <c r="U16" s="302" t="s">
        <v>181</v>
      </c>
      <c r="V16" s="2012"/>
      <c r="W16" s="2013"/>
      <c r="X16" s="2014"/>
    </row>
    <row r="17" spans="1:24" ht="16.5" thickBot="1">
      <c r="A17" s="1343"/>
      <c r="B17" s="309"/>
      <c r="C17" s="325"/>
      <c r="D17" s="325"/>
      <c r="E17" s="326"/>
      <c r="F17" s="325"/>
      <c r="G17" s="325"/>
      <c r="H17" s="1398"/>
      <c r="I17" s="327"/>
      <c r="J17" s="327"/>
      <c r="K17" s="327"/>
      <c r="L17" s="327"/>
      <c r="M17" s="326"/>
      <c r="O17" s="331" t="s">
        <v>136</v>
      </c>
      <c r="P17" s="1046" t="e">
        <f t="shared" ref="P17:U17" si="4">G16-F16</f>
        <v>#VALUE!</v>
      </c>
      <c r="Q17" s="1046">
        <f t="shared" si="4"/>
        <v>14286.970833333335</v>
      </c>
      <c r="R17" s="1046">
        <f t="shared" si="4"/>
        <v>1349.9499999999989</v>
      </c>
      <c r="S17" s="1046">
        <f t="shared" si="4"/>
        <v>1349.9499999999989</v>
      </c>
      <c r="T17" s="1046">
        <f t="shared" si="4"/>
        <v>1349.9500000000007</v>
      </c>
      <c r="U17" s="1046">
        <f t="shared" si="4"/>
        <v>1349.9500000000007</v>
      </c>
      <c r="V17" s="2015">
        <f>AVERAGE(Q17:U17)</f>
        <v>3937.354166666667</v>
      </c>
      <c r="W17" s="2016"/>
      <c r="X17" s="2017"/>
    </row>
    <row r="18" spans="1:24" ht="16.5" customHeight="1" thickBot="1">
      <c r="A18" s="2004" t="s">
        <v>524</v>
      </c>
      <c r="B18" s="1942" t="s">
        <v>14</v>
      </c>
      <c r="C18" s="1362">
        <v>2021</v>
      </c>
      <c r="D18" s="1363">
        <v>2022</v>
      </c>
      <c r="E18" s="1364">
        <v>2023</v>
      </c>
      <c r="F18" s="1363">
        <v>2024</v>
      </c>
      <c r="G18" s="1365">
        <v>2025</v>
      </c>
      <c r="H18" s="1366">
        <v>2026</v>
      </c>
      <c r="I18" s="1366">
        <v>2027</v>
      </c>
      <c r="J18" s="1366">
        <v>2028</v>
      </c>
      <c r="K18" s="1366">
        <v>2029</v>
      </c>
      <c r="L18" s="1366">
        <v>2030</v>
      </c>
      <c r="M18" s="2007" t="s">
        <v>694</v>
      </c>
      <c r="O18" s="331" t="s">
        <v>46</v>
      </c>
      <c r="P18" s="1047">
        <v>0</v>
      </c>
      <c r="Q18" s="1047">
        <v>0</v>
      </c>
      <c r="R18" s="1047">
        <f>R17/H16*100</f>
        <v>9.0909090909090828</v>
      </c>
      <c r="S18" s="1047">
        <f>S17/I16*100</f>
        <v>8.3333333333333268</v>
      </c>
      <c r="T18" s="1047">
        <f>T17/J16*100</f>
        <v>7.692307692307697</v>
      </c>
      <c r="U18" s="1047">
        <f>U17/K16*100</f>
        <v>7.1428571428571468</v>
      </c>
      <c r="V18" s="2025">
        <f>AVERAGE(Q18:U18)</f>
        <v>6.4518814518814507</v>
      </c>
      <c r="W18" s="2026"/>
      <c r="X18" s="2027"/>
    </row>
    <row r="19" spans="1:24" ht="16.5" thickBot="1">
      <c r="A19" s="2005"/>
      <c r="B19" s="1943"/>
      <c r="C19" s="297" t="s">
        <v>325</v>
      </c>
      <c r="D19" s="297" t="s">
        <v>324</v>
      </c>
      <c r="E19" s="298" t="s">
        <v>323</v>
      </c>
      <c r="F19" s="297" t="s">
        <v>327</v>
      </c>
      <c r="G19" s="299" t="s">
        <v>135</v>
      </c>
      <c r="H19" s="300" t="s">
        <v>177</v>
      </c>
      <c r="I19" s="300" t="s">
        <v>178</v>
      </c>
      <c r="J19" s="300" t="s">
        <v>179</v>
      </c>
      <c r="K19" s="300" t="s">
        <v>180</v>
      </c>
      <c r="L19" s="300" t="s">
        <v>181</v>
      </c>
      <c r="M19" s="2008"/>
      <c r="O19" s="331"/>
      <c r="P19" s="1932" t="s">
        <v>532</v>
      </c>
      <c r="Q19" s="1933"/>
      <c r="R19" s="1933"/>
      <c r="S19" s="1933"/>
      <c r="T19" s="1933"/>
      <c r="U19" s="1934"/>
      <c r="V19" s="1048" t="s">
        <v>134</v>
      </c>
      <c r="W19" s="1049"/>
      <c r="X19" s="1050"/>
    </row>
    <row r="20" spans="1:24" ht="16.5" thickBot="1">
      <c r="A20" s="2005"/>
      <c r="B20" s="309" t="s">
        <v>45</v>
      </c>
      <c r="C20" s="322" t="s">
        <v>34</v>
      </c>
      <c r="D20" s="322" t="s">
        <v>34</v>
      </c>
      <c r="E20" s="311">
        <f>E16</f>
        <v>134995</v>
      </c>
      <c r="F20" s="322" t="s">
        <v>34</v>
      </c>
      <c r="G20" s="318">
        <f>P22</f>
        <v>562.47916666666663</v>
      </c>
      <c r="H20" s="1397">
        <f>Q22</f>
        <v>14849.45</v>
      </c>
      <c r="I20" s="1397">
        <f t="shared" ref="I20:L20" si="5">R22</f>
        <v>16199.4</v>
      </c>
      <c r="J20" s="1397">
        <f t="shared" si="5"/>
        <v>17549.349999999999</v>
      </c>
      <c r="K20" s="1397">
        <f t="shared" si="5"/>
        <v>18899.3</v>
      </c>
      <c r="L20" s="1397">
        <f t="shared" si="5"/>
        <v>20249.25</v>
      </c>
      <c r="M20" s="1223">
        <f>V22</f>
        <v>17549.349999999999</v>
      </c>
      <c r="O20" s="331"/>
      <c r="P20" s="294">
        <v>2025</v>
      </c>
      <c r="Q20" s="295">
        <v>2026</v>
      </c>
      <c r="R20" s="296">
        <v>2027</v>
      </c>
      <c r="S20" s="295">
        <v>2028</v>
      </c>
      <c r="T20" s="296">
        <v>2029</v>
      </c>
      <c r="U20" s="295">
        <v>2030</v>
      </c>
      <c r="V20" s="2009" t="s">
        <v>682</v>
      </c>
      <c r="W20" s="2010"/>
      <c r="X20" s="2011"/>
    </row>
    <row r="21" spans="1:24" ht="17.25" thickTop="1" thickBot="1">
      <c r="A21" s="2006"/>
      <c r="B21" s="309" t="s">
        <v>46</v>
      </c>
      <c r="C21" s="322" t="s">
        <v>34</v>
      </c>
      <c r="D21" s="322" t="s">
        <v>34</v>
      </c>
      <c r="E21" s="323" t="s">
        <v>34</v>
      </c>
      <c r="F21" s="322" t="s">
        <v>34</v>
      </c>
      <c r="G21" s="1395">
        <f>P23</f>
        <v>0.41666666666666669</v>
      </c>
      <c r="H21" s="1399">
        <f>Q23</f>
        <v>11</v>
      </c>
      <c r="I21" s="1400">
        <f t="shared" ref="I21:L21" si="6">R23</f>
        <v>12</v>
      </c>
      <c r="J21" s="1400">
        <f t="shared" si="6"/>
        <v>12.999999999999998</v>
      </c>
      <c r="K21" s="1400">
        <f t="shared" si="6"/>
        <v>13.999999999999998</v>
      </c>
      <c r="L21" s="1401">
        <f t="shared" si="6"/>
        <v>15</v>
      </c>
      <c r="M21" s="1396">
        <f>V23</f>
        <v>13</v>
      </c>
      <c r="O21" s="331" t="s">
        <v>14</v>
      </c>
      <c r="P21" s="301" t="s">
        <v>135</v>
      </c>
      <c r="Q21" s="302" t="s">
        <v>177</v>
      </c>
      <c r="R21" s="303" t="s">
        <v>178</v>
      </c>
      <c r="S21" s="303" t="s">
        <v>179</v>
      </c>
      <c r="T21" s="303" t="s">
        <v>180</v>
      </c>
      <c r="U21" s="302" t="s">
        <v>181</v>
      </c>
      <c r="V21" s="2012"/>
      <c r="W21" s="2013"/>
      <c r="X21" s="2014"/>
    </row>
    <row r="22" spans="1:24" ht="16.5" customHeight="1" thickBot="1">
      <c r="A22" s="1343"/>
      <c r="B22" s="309"/>
      <c r="C22" s="325"/>
      <c r="D22" s="325"/>
      <c r="E22" s="326"/>
      <c r="F22" s="325"/>
      <c r="G22" s="325"/>
      <c r="H22" s="1398"/>
      <c r="I22" s="1398"/>
      <c r="J22" s="1398"/>
      <c r="K22" s="1398"/>
      <c r="L22" s="1398"/>
      <c r="M22" s="326"/>
      <c r="O22" s="331" t="s">
        <v>136</v>
      </c>
      <c r="P22" s="2">
        <f t="shared" ref="P22:U22" si="7">G16</f>
        <v>562.47916666666663</v>
      </c>
      <c r="Q22" s="2">
        <f t="shared" si="7"/>
        <v>14849.45</v>
      </c>
      <c r="R22" s="2">
        <f t="shared" si="7"/>
        <v>16199.4</v>
      </c>
      <c r="S22" s="2">
        <f t="shared" si="7"/>
        <v>17549.349999999999</v>
      </c>
      <c r="T22" s="2">
        <f t="shared" si="7"/>
        <v>18899.3</v>
      </c>
      <c r="U22" s="2">
        <f t="shared" si="7"/>
        <v>20249.25</v>
      </c>
      <c r="V22" s="2015">
        <f>AVERAGE(Q22:U22)</f>
        <v>17549.349999999999</v>
      </c>
      <c r="W22" s="2016"/>
      <c r="X22" s="2017"/>
    </row>
    <row r="23" spans="1:24" ht="15.75" customHeight="1" thickTop="1" thickBot="1">
      <c r="A23" s="2004" t="s">
        <v>525</v>
      </c>
      <c r="B23" s="1942" t="s">
        <v>14</v>
      </c>
      <c r="C23" s="1362">
        <v>2021</v>
      </c>
      <c r="D23" s="1363">
        <v>2022</v>
      </c>
      <c r="E23" s="1364">
        <v>2023</v>
      </c>
      <c r="F23" s="1363">
        <v>2024</v>
      </c>
      <c r="G23" s="1365">
        <v>2025</v>
      </c>
      <c r="H23" s="1366">
        <v>2026</v>
      </c>
      <c r="I23" s="1366">
        <v>2027</v>
      </c>
      <c r="J23" s="1366">
        <v>2028</v>
      </c>
      <c r="K23" s="1366">
        <v>2029</v>
      </c>
      <c r="L23" s="1366">
        <v>2030</v>
      </c>
      <c r="M23" s="2007" t="s">
        <v>694</v>
      </c>
      <c r="O23" s="331" t="s">
        <v>46</v>
      </c>
      <c r="P23" s="46">
        <f>P22/$E$8*100</f>
        <v>0.41666666666666669</v>
      </c>
      <c r="Q23" s="1408">
        <f t="shared" ref="Q23:U23" si="8">Q22/$E$8*100</f>
        <v>11</v>
      </c>
      <c r="R23" s="1409">
        <f t="shared" si="8"/>
        <v>12</v>
      </c>
      <c r="S23" s="1409">
        <f t="shared" si="8"/>
        <v>12.999999999999998</v>
      </c>
      <c r="T23" s="1409">
        <f t="shared" si="8"/>
        <v>13.999999999999998</v>
      </c>
      <c r="U23" s="1410">
        <f t="shared" si="8"/>
        <v>15</v>
      </c>
      <c r="V23" s="2026">
        <f>AVERAGE(Q23:U23)</f>
        <v>13</v>
      </c>
      <c r="W23" s="2026"/>
      <c r="X23" s="2027"/>
    </row>
    <row r="24" spans="1:24" ht="16.5" thickBot="1">
      <c r="A24" s="2005"/>
      <c r="B24" s="1943"/>
      <c r="C24" s="297" t="s">
        <v>325</v>
      </c>
      <c r="D24" s="297" t="s">
        <v>324</v>
      </c>
      <c r="E24" s="298" t="s">
        <v>323</v>
      </c>
      <c r="F24" s="297" t="s">
        <v>327</v>
      </c>
      <c r="G24" s="299" t="s">
        <v>135</v>
      </c>
      <c r="H24" s="300" t="s">
        <v>177</v>
      </c>
      <c r="I24" s="300" t="s">
        <v>178</v>
      </c>
      <c r="J24" s="300" t="s">
        <v>179</v>
      </c>
      <c r="K24" s="300" t="s">
        <v>180</v>
      </c>
      <c r="L24" s="300" t="s">
        <v>181</v>
      </c>
      <c r="M24" s="2008"/>
      <c r="O24" s="331"/>
      <c r="P24" s="1932" t="s">
        <v>533</v>
      </c>
      <c r="Q24" s="2034"/>
      <c r="R24" s="2034"/>
      <c r="S24" s="2034"/>
      <c r="T24" s="2034"/>
      <c r="U24" s="2035"/>
      <c r="V24" s="1048" t="s">
        <v>134</v>
      </c>
      <c r="W24" s="1049"/>
      <c r="X24" s="1050"/>
    </row>
    <row r="25" spans="1:24" ht="16.5" thickBot="1">
      <c r="A25" s="2005"/>
      <c r="B25" s="309" t="s">
        <v>45</v>
      </c>
      <c r="C25" s="322" t="s">
        <v>34</v>
      </c>
      <c r="D25" s="322" t="s">
        <v>34</v>
      </c>
      <c r="E25" s="311">
        <v>134995</v>
      </c>
      <c r="F25" s="322" t="s">
        <v>34</v>
      </c>
      <c r="G25" s="318">
        <f>P27</f>
        <v>49310.729166666657</v>
      </c>
      <c r="H25" s="312">
        <f>Q27</f>
        <v>85041.950000000012</v>
      </c>
      <c r="I25" s="312">
        <f t="shared" ref="I25:L25" si="9">R27</f>
        <v>107836.15</v>
      </c>
      <c r="J25" s="312">
        <f t="shared" si="9"/>
        <v>130630.34999999998</v>
      </c>
      <c r="K25" s="312">
        <f t="shared" si="9"/>
        <v>153424.54999999999</v>
      </c>
      <c r="L25" s="312">
        <f t="shared" si="9"/>
        <v>176218.75</v>
      </c>
      <c r="M25" s="422">
        <f>V27</f>
        <v>130630.35</v>
      </c>
      <c r="P25" s="294">
        <v>2025</v>
      </c>
      <c r="Q25" s="295">
        <v>2026</v>
      </c>
      <c r="R25" s="296">
        <v>2027</v>
      </c>
      <c r="S25" s="295">
        <v>2028</v>
      </c>
      <c r="T25" s="296">
        <v>2029</v>
      </c>
      <c r="U25" s="295">
        <v>2030</v>
      </c>
      <c r="V25" s="2009" t="s">
        <v>682</v>
      </c>
      <c r="W25" s="2010"/>
      <c r="X25" s="2011"/>
    </row>
    <row r="26" spans="1:24" ht="16.5" thickBot="1">
      <c r="A26" s="2006"/>
      <c r="B26" s="309" t="s">
        <v>46</v>
      </c>
      <c r="C26" s="322" t="s">
        <v>34</v>
      </c>
      <c r="D26" s="322" t="s">
        <v>34</v>
      </c>
      <c r="E26" s="323" t="s">
        <v>34</v>
      </c>
      <c r="F26" s="322" t="s">
        <v>34</v>
      </c>
      <c r="G26" s="419">
        <f>P28</f>
        <v>36.527818931565356</v>
      </c>
      <c r="H26" s="1224">
        <f>Q28</f>
        <v>62.996370235934677</v>
      </c>
      <c r="I26" s="1064">
        <f t="shared" ref="I26:L26" si="10">R28</f>
        <v>79.881588206970619</v>
      </c>
      <c r="J26" s="1064">
        <f t="shared" si="10"/>
        <v>96.766806178006576</v>
      </c>
      <c r="K26" s="1064">
        <f t="shared" si="10"/>
        <v>113.65202414904255</v>
      </c>
      <c r="L26" s="1064">
        <f t="shared" si="10"/>
        <v>130.5372421200785</v>
      </c>
      <c r="M26" s="423">
        <f>AVERAGE(H26:L26)</f>
        <v>96.76680617800659</v>
      </c>
      <c r="O26" s="331" t="s">
        <v>14</v>
      </c>
      <c r="P26" s="301" t="s">
        <v>135</v>
      </c>
      <c r="Q26" s="302" t="s">
        <v>177</v>
      </c>
      <c r="R26" s="303" t="s">
        <v>178</v>
      </c>
      <c r="S26" s="303" t="s">
        <v>179</v>
      </c>
      <c r="T26" s="303" t="s">
        <v>180</v>
      </c>
      <c r="U26" s="302" t="s">
        <v>181</v>
      </c>
      <c r="V26" s="2012"/>
      <c r="W26" s="2013"/>
      <c r="X26" s="2014"/>
    </row>
    <row r="27" spans="1:24" ht="16.5" thickBot="1">
      <c r="A27" s="304"/>
      <c r="B27" s="305"/>
      <c r="C27" s="306"/>
      <c r="D27" s="306"/>
      <c r="E27" s="321"/>
      <c r="F27" s="306"/>
      <c r="G27" s="306"/>
      <c r="H27" s="307"/>
      <c r="I27" s="307"/>
      <c r="J27" s="307"/>
      <c r="K27" s="307"/>
      <c r="L27" s="307"/>
      <c r="M27" s="314"/>
      <c r="O27" s="331" t="s">
        <v>136</v>
      </c>
      <c r="P27" s="1046">
        <f t="shared" ref="P27:U27" si="11">G8-$E$8</f>
        <v>49310.729166666657</v>
      </c>
      <c r="Q27" s="1046">
        <f t="shared" si="11"/>
        <v>85041.950000000012</v>
      </c>
      <c r="R27" s="1046">
        <f t="shared" si="11"/>
        <v>107836.15</v>
      </c>
      <c r="S27" s="1046">
        <f t="shared" si="11"/>
        <v>130630.34999999998</v>
      </c>
      <c r="T27" s="1046">
        <f t="shared" si="11"/>
        <v>153424.54999999999</v>
      </c>
      <c r="U27" s="1046">
        <f t="shared" si="11"/>
        <v>176218.75</v>
      </c>
      <c r="V27" s="2015">
        <f>AVERAGE(Q27:U27)</f>
        <v>130630.35</v>
      </c>
      <c r="W27" s="2016"/>
      <c r="X27" s="2017"/>
    </row>
    <row r="28" spans="1:24" ht="15.75" customHeight="1" thickBot="1">
      <c r="A28" s="2004" t="s">
        <v>526</v>
      </c>
      <c r="B28" s="1942" t="s">
        <v>14</v>
      </c>
      <c r="C28" s="1362">
        <v>2021</v>
      </c>
      <c r="D28" s="1363">
        <v>2022</v>
      </c>
      <c r="E28" s="1364">
        <v>2023</v>
      </c>
      <c r="F28" s="1363">
        <v>2024</v>
      </c>
      <c r="G28" s="1365">
        <v>2025</v>
      </c>
      <c r="H28" s="1366">
        <v>2026</v>
      </c>
      <c r="I28" s="1366">
        <v>2027</v>
      </c>
      <c r="J28" s="1366">
        <v>2028</v>
      </c>
      <c r="K28" s="1366">
        <v>2029</v>
      </c>
      <c r="L28" s="1366">
        <v>2030</v>
      </c>
      <c r="M28" s="2007" t="s">
        <v>696</v>
      </c>
      <c r="O28" s="331" t="s">
        <v>46</v>
      </c>
      <c r="P28" s="1047">
        <f>P27/$E$8*100</f>
        <v>36.527818931565356</v>
      </c>
      <c r="Q28" s="1047">
        <f t="shared" ref="Q28:U28" si="12">Q27/$E$8*100</f>
        <v>62.996370235934677</v>
      </c>
      <c r="R28" s="1047">
        <f t="shared" si="12"/>
        <v>79.881588206970619</v>
      </c>
      <c r="S28" s="1047">
        <f t="shared" si="12"/>
        <v>96.766806178006576</v>
      </c>
      <c r="T28" s="1047">
        <f t="shared" si="12"/>
        <v>113.65202414904255</v>
      </c>
      <c r="U28" s="1047">
        <f t="shared" si="12"/>
        <v>130.5372421200785</v>
      </c>
      <c r="V28" s="2025">
        <f>AVERAGE(Q28:U28)</f>
        <v>96.76680617800659</v>
      </c>
      <c r="W28" s="2026"/>
      <c r="X28" s="2027"/>
    </row>
    <row r="29" spans="1:24" ht="16.5" thickBot="1">
      <c r="A29" s="2005"/>
      <c r="B29" s="1943"/>
      <c r="C29" s="297" t="s">
        <v>325</v>
      </c>
      <c r="D29" s="297" t="s">
        <v>324</v>
      </c>
      <c r="E29" s="298" t="s">
        <v>323</v>
      </c>
      <c r="F29" s="297" t="s">
        <v>327</v>
      </c>
      <c r="G29" s="299" t="s">
        <v>135</v>
      </c>
      <c r="H29" s="300" t="s">
        <v>177</v>
      </c>
      <c r="I29" s="300" t="s">
        <v>178</v>
      </c>
      <c r="J29" s="300" t="s">
        <v>179</v>
      </c>
      <c r="K29" s="300" t="s">
        <v>180</v>
      </c>
      <c r="L29" s="300" t="s">
        <v>181</v>
      </c>
      <c r="M29" s="2008"/>
    </row>
    <row r="30" spans="1:24" ht="16.5" thickBot="1">
      <c r="A30" s="2006"/>
      <c r="B30" s="329" t="s">
        <v>46</v>
      </c>
      <c r="C30" s="322" t="s">
        <v>34</v>
      </c>
      <c r="D30" s="322" t="s">
        <v>34</v>
      </c>
      <c r="E30" s="323" t="s">
        <v>34</v>
      </c>
      <c r="F30" s="322" t="str">
        <f>F46</f>
        <v>-</v>
      </c>
      <c r="G30" s="374">
        <f>G46</f>
        <v>0.30612235642216334</v>
      </c>
      <c r="H30" s="375">
        <f t="shared" ref="H30:K30" si="13">H46</f>
        <v>7.2370149253731348</v>
      </c>
      <c r="I30" s="375">
        <f t="shared" si="13"/>
        <v>7.1478952088575411</v>
      </c>
      <c r="J30" s="375">
        <f t="shared" si="13"/>
        <v>7.0741829116883537</v>
      </c>
      <c r="K30" s="962">
        <f t="shared" si="13"/>
        <v>7.0122003819750089</v>
      </c>
      <c r="L30" s="962">
        <f t="shared" ref="L30" si="14">L46</f>
        <v>6.9593541480146213</v>
      </c>
      <c r="M30" s="1225">
        <f>M46</f>
        <v>7.0861295151817316</v>
      </c>
      <c r="P30" s="46"/>
    </row>
    <row r="31" spans="1:24">
      <c r="A31" s="330"/>
    </row>
    <row r="32" spans="1:24" ht="16.5" customHeight="1">
      <c r="A32" s="330" t="s">
        <v>671</v>
      </c>
    </row>
    <row r="34" spans="1:14" ht="18.75">
      <c r="A34" s="2024" t="s">
        <v>377</v>
      </c>
      <c r="B34" s="2024"/>
      <c r="C34" s="2024"/>
      <c r="D34" s="2024"/>
      <c r="E34" s="2024"/>
      <c r="F34" s="2024"/>
      <c r="G34" s="2024"/>
      <c r="H34" s="2024"/>
      <c r="I34" s="2024"/>
      <c r="J34" s="2024"/>
      <c r="K34" s="2024"/>
      <c r="L34" s="2024"/>
      <c r="M34" s="2024"/>
      <c r="N34" s="2024"/>
    </row>
    <row r="36" spans="1:14" ht="15.75" thickBot="1">
      <c r="A36" s="45" t="s">
        <v>183</v>
      </c>
    </row>
    <row r="37" spans="1:14" ht="16.5" thickBot="1">
      <c r="A37" s="1942" t="s">
        <v>137</v>
      </c>
      <c r="B37" s="1942" t="s">
        <v>14</v>
      </c>
      <c r="E37" s="1364">
        <v>2023</v>
      </c>
      <c r="F37" s="1363">
        <v>2024</v>
      </c>
      <c r="G37" s="1365">
        <v>2025</v>
      </c>
      <c r="H37" s="1366">
        <v>2026</v>
      </c>
      <c r="I37" s="1366">
        <v>2027</v>
      </c>
      <c r="J37" s="1366">
        <v>2028</v>
      </c>
      <c r="K37" s="1366">
        <v>2029</v>
      </c>
      <c r="L37" s="1366">
        <v>2030</v>
      </c>
    </row>
    <row r="38" spans="1:14" ht="16.5" thickBot="1">
      <c r="A38" s="1943"/>
      <c r="B38" s="1943"/>
      <c r="E38" s="298" t="s">
        <v>323</v>
      </c>
      <c r="F38" s="341" t="s">
        <v>327</v>
      </c>
      <c r="G38" s="1221" t="s">
        <v>135</v>
      </c>
      <c r="H38" s="303" t="s">
        <v>177</v>
      </c>
      <c r="I38" s="303" t="s">
        <v>178</v>
      </c>
      <c r="J38" s="303" t="s">
        <v>179</v>
      </c>
      <c r="K38" s="302" t="s">
        <v>180</v>
      </c>
      <c r="L38" s="302" t="s">
        <v>181</v>
      </c>
    </row>
    <row r="39" spans="1:14" ht="16.5" customHeight="1" thickBot="1">
      <c r="A39" s="2028" t="s">
        <v>697</v>
      </c>
      <c r="B39" s="1423" t="s">
        <v>139</v>
      </c>
      <c r="E39" s="334"/>
      <c r="F39" s="334"/>
      <c r="G39" s="335"/>
      <c r="H39" s="334"/>
      <c r="I39" s="334"/>
      <c r="J39" s="334"/>
      <c r="K39" s="335"/>
      <c r="L39" s="335"/>
    </row>
    <row r="40" spans="1:14" ht="21" customHeight="1" thickBot="1">
      <c r="A40" s="2029"/>
      <c r="B40" s="309" t="s">
        <v>45</v>
      </c>
      <c r="E40" s="311">
        <f>E8</f>
        <v>134995</v>
      </c>
      <c r="F40" s="1058" t="str">
        <f t="shared" ref="F40:L40" si="15">F16</f>
        <v>-</v>
      </c>
      <c r="G40" s="1053">
        <f t="shared" si="15"/>
        <v>562.47916666666663</v>
      </c>
      <c r="H40" s="366">
        <f t="shared" si="15"/>
        <v>14849.45</v>
      </c>
      <c r="I40" s="366">
        <f t="shared" si="15"/>
        <v>16199.4</v>
      </c>
      <c r="J40" s="366">
        <f t="shared" si="15"/>
        <v>17549.349999999999</v>
      </c>
      <c r="K40" s="366">
        <f t="shared" si="15"/>
        <v>18899.3</v>
      </c>
      <c r="L40" s="366">
        <f t="shared" si="15"/>
        <v>20249.25</v>
      </c>
    </row>
    <row r="42" spans="1:14" ht="15.75" thickBot="1"/>
    <row r="43" spans="1:14" ht="16.5" thickBot="1">
      <c r="A43" s="2030" t="s">
        <v>137</v>
      </c>
      <c r="B43" s="1942" t="s">
        <v>14</v>
      </c>
      <c r="E43" s="1364">
        <v>2023</v>
      </c>
      <c r="F43" s="1363">
        <v>2024</v>
      </c>
      <c r="G43" s="1365">
        <v>2025</v>
      </c>
      <c r="H43" s="1366">
        <v>2026</v>
      </c>
      <c r="I43" s="1366">
        <v>2027</v>
      </c>
      <c r="J43" s="1366">
        <v>2028</v>
      </c>
      <c r="K43" s="1366">
        <v>2029</v>
      </c>
      <c r="L43" s="1366">
        <v>2030</v>
      </c>
      <c r="M43" s="1013" t="s">
        <v>138</v>
      </c>
    </row>
    <row r="44" spans="1:14" ht="16.5" thickBot="1">
      <c r="A44" s="2031"/>
      <c r="B44" s="1943"/>
      <c r="E44" s="298" t="s">
        <v>323</v>
      </c>
      <c r="F44" s="297" t="s">
        <v>327</v>
      </c>
      <c r="G44" s="301" t="s">
        <v>135</v>
      </c>
      <c r="H44" s="303" t="s">
        <v>177</v>
      </c>
      <c r="I44" s="303" t="s">
        <v>178</v>
      </c>
      <c r="J44" s="303" t="s">
        <v>179</v>
      </c>
      <c r="K44" s="302" t="s">
        <v>180</v>
      </c>
      <c r="L44" s="302" t="s">
        <v>181</v>
      </c>
      <c r="M44" s="331" t="s">
        <v>682</v>
      </c>
    </row>
    <row r="45" spans="1:14" ht="16.5" customHeight="1" thickBot="1">
      <c r="A45" s="2028" t="s">
        <v>378</v>
      </c>
      <c r="B45" s="337" t="s">
        <v>139</v>
      </c>
      <c r="E45" s="376">
        <f>E8</f>
        <v>134995</v>
      </c>
      <c r="F45" s="963" t="s">
        <v>34</v>
      </c>
      <c r="G45" s="965">
        <f t="shared" ref="G45:L45" si="16">G16/G12</f>
        <v>3.0612235642216335E-3</v>
      </c>
      <c r="H45" s="1062">
        <f t="shared" si="16"/>
        <v>7.237014925373135E-2</v>
      </c>
      <c r="I45" s="1062">
        <f t="shared" si="16"/>
        <v>7.1478952088575409E-2</v>
      </c>
      <c r="J45" s="1062">
        <f t="shared" si="16"/>
        <v>7.0741829116883537E-2</v>
      </c>
      <c r="K45" s="1062">
        <f t="shared" si="16"/>
        <v>7.0122003819750089E-2</v>
      </c>
      <c r="L45" s="1063">
        <f t="shared" si="16"/>
        <v>6.9593541480146209E-2</v>
      </c>
      <c r="M45" s="1060">
        <f>AVERAGE(H45:L45)</f>
        <v>7.0861295151817313E-2</v>
      </c>
    </row>
    <row r="46" spans="1:14" ht="16.5" thickBot="1">
      <c r="A46" s="2029"/>
      <c r="B46" s="309" t="s">
        <v>46</v>
      </c>
      <c r="E46" s="967" t="s">
        <v>34</v>
      </c>
      <c r="F46" s="964" t="s">
        <v>34</v>
      </c>
      <c r="G46" s="968">
        <f t="shared" ref="G46:K46" si="17">G45*100</f>
        <v>0.30612235642216334</v>
      </c>
      <c r="H46" s="969">
        <f t="shared" si="17"/>
        <v>7.2370149253731348</v>
      </c>
      <c r="I46" s="969">
        <f t="shared" si="17"/>
        <v>7.1478952088575411</v>
      </c>
      <c r="J46" s="969">
        <f t="shared" si="17"/>
        <v>7.0741829116883537</v>
      </c>
      <c r="K46" s="969">
        <f t="shared" si="17"/>
        <v>7.0122003819750089</v>
      </c>
      <c r="L46" s="969">
        <f t="shared" ref="L46" si="18">L45*100</f>
        <v>6.9593541480146213</v>
      </c>
      <c r="M46" s="1059">
        <f>AVERAGE(H46:L46)</f>
        <v>7.0861295151817316</v>
      </c>
    </row>
    <row r="48" spans="1:14" ht="15.75" thickBot="1"/>
    <row r="49" spans="1:13" ht="16.5" thickBot="1">
      <c r="A49" s="1942" t="s">
        <v>137</v>
      </c>
      <c r="B49" s="1942" t="s">
        <v>14</v>
      </c>
      <c r="E49" s="1364">
        <v>2023</v>
      </c>
      <c r="F49" s="1363">
        <v>2024</v>
      </c>
      <c r="G49" s="1365">
        <v>2025</v>
      </c>
      <c r="H49" s="1366">
        <v>2026</v>
      </c>
      <c r="I49" s="1366">
        <v>2027</v>
      </c>
      <c r="J49" s="1366">
        <v>2028</v>
      </c>
      <c r="K49" s="1366">
        <v>2029</v>
      </c>
      <c r="L49" s="1366">
        <v>2030</v>
      </c>
      <c r="M49" s="420" t="s">
        <v>138</v>
      </c>
    </row>
    <row r="50" spans="1:13" ht="16.5" thickBot="1">
      <c r="A50" s="1943"/>
      <c r="B50" s="1943"/>
      <c r="E50" s="298" t="s">
        <v>323</v>
      </c>
      <c r="F50" s="341" t="s">
        <v>327</v>
      </c>
      <c r="G50" s="1221" t="s">
        <v>135</v>
      </c>
      <c r="H50" s="303" t="s">
        <v>177</v>
      </c>
      <c r="I50" s="303" t="s">
        <v>178</v>
      </c>
      <c r="J50" s="303" t="s">
        <v>179</v>
      </c>
      <c r="K50" s="302" t="s">
        <v>180</v>
      </c>
      <c r="L50" s="302" t="s">
        <v>181</v>
      </c>
      <c r="M50" s="331" t="s">
        <v>682</v>
      </c>
    </row>
    <row r="51" spans="1:13" ht="16.5" customHeight="1" thickBot="1">
      <c r="A51" s="2032" t="s">
        <v>447</v>
      </c>
      <c r="B51" s="337" t="s">
        <v>139</v>
      </c>
      <c r="E51" s="339">
        <f>E8</f>
        <v>134995</v>
      </c>
      <c r="F51" s="1056" t="s">
        <v>34</v>
      </c>
      <c r="G51" s="1054">
        <v>0</v>
      </c>
      <c r="H51" s="1061">
        <f>H40/$E$40</f>
        <v>0.11</v>
      </c>
      <c r="I51" s="1061">
        <f>I40/$E$40</f>
        <v>0.12</v>
      </c>
      <c r="J51" s="1061">
        <f>J40/$E$40</f>
        <v>0.12999999999999998</v>
      </c>
      <c r="K51" s="1061">
        <f>K40/$E$40</f>
        <v>0.13999999999999999</v>
      </c>
      <c r="L51" s="1061">
        <f>L40/$E$40</f>
        <v>0.15</v>
      </c>
      <c r="M51" s="1060">
        <f>AVERAGE(H51:L51)</f>
        <v>0.13</v>
      </c>
    </row>
    <row r="52" spans="1:13" ht="16.5" thickBot="1">
      <c r="A52" s="2033"/>
      <c r="B52" s="309" t="s">
        <v>46</v>
      </c>
      <c r="E52" s="323" t="s">
        <v>34</v>
      </c>
      <c r="F52" s="1057" t="s">
        <v>34</v>
      </c>
      <c r="G52" s="1055">
        <v>0</v>
      </c>
      <c r="H52" s="966">
        <f t="shared" ref="H52:K52" si="19">H51*100</f>
        <v>11</v>
      </c>
      <c r="I52" s="966">
        <f t="shared" si="19"/>
        <v>12</v>
      </c>
      <c r="J52" s="966">
        <f t="shared" si="19"/>
        <v>12.999999999999998</v>
      </c>
      <c r="K52" s="966">
        <f t="shared" si="19"/>
        <v>13.999999999999998</v>
      </c>
      <c r="L52" s="966">
        <f t="shared" ref="L52" si="20">L51*100</f>
        <v>15</v>
      </c>
      <c r="M52" s="1059">
        <f>AVERAGE(H52:L52)</f>
        <v>13</v>
      </c>
    </row>
    <row r="56" spans="1:13" ht="21.75" thickBot="1">
      <c r="A56" s="1666" t="s">
        <v>698</v>
      </c>
    </row>
    <row r="57" spans="1:13" ht="15.75" customHeight="1">
      <c r="A57" s="2022" t="s">
        <v>572</v>
      </c>
      <c r="B57" s="960" t="s">
        <v>344</v>
      </c>
      <c r="C57" s="560" t="s">
        <v>323</v>
      </c>
      <c r="D57" s="560" t="s">
        <v>135</v>
      </c>
      <c r="E57" s="560" t="s">
        <v>177</v>
      </c>
      <c r="F57" s="560" t="s">
        <v>178</v>
      </c>
      <c r="G57" s="560" t="s">
        <v>179</v>
      </c>
      <c r="H57" s="560" t="s">
        <v>180</v>
      </c>
      <c r="I57" s="1311" t="s">
        <v>181</v>
      </c>
      <c r="K57" s="1013" t="s">
        <v>375</v>
      </c>
    </row>
    <row r="58" spans="1:13" ht="16.5" thickBot="1">
      <c r="A58" s="2023"/>
      <c r="B58" s="961" t="s">
        <v>345</v>
      </c>
      <c r="C58" s="561">
        <v>2024</v>
      </c>
      <c r="D58" s="561">
        <v>2025</v>
      </c>
      <c r="E58" s="561">
        <v>2026</v>
      </c>
      <c r="F58" s="561">
        <v>2027</v>
      </c>
      <c r="G58" s="561">
        <v>2028</v>
      </c>
      <c r="H58" s="561">
        <v>2029</v>
      </c>
      <c r="I58" s="561">
        <v>2030</v>
      </c>
      <c r="K58" s="1013" t="s">
        <v>467</v>
      </c>
    </row>
    <row r="59" spans="1:13" ht="15.75">
      <c r="A59" s="562" t="s">
        <v>182</v>
      </c>
      <c r="B59" s="563" t="s">
        <v>1</v>
      </c>
      <c r="C59" s="1307">
        <f>E8</f>
        <v>134995</v>
      </c>
      <c r="D59" s="1307">
        <f t="shared" ref="D59:I59" si="21">G8</f>
        <v>184305.72916666666</v>
      </c>
      <c r="E59" s="1307">
        <f t="shared" si="21"/>
        <v>220036.95</v>
      </c>
      <c r="F59" s="1307">
        <f t="shared" si="21"/>
        <v>242831.15</v>
      </c>
      <c r="G59" s="1307">
        <f t="shared" si="21"/>
        <v>265625.34999999998</v>
      </c>
      <c r="H59" s="1307">
        <f t="shared" si="21"/>
        <v>288419.55</v>
      </c>
      <c r="I59" s="1312">
        <f t="shared" si="21"/>
        <v>311213.75</v>
      </c>
      <c r="K59" s="46">
        <f>AVERAGE(E59:I59)</f>
        <v>265625.34999999998</v>
      </c>
    </row>
    <row r="60" spans="1:13" ht="15.75">
      <c r="A60" s="564" t="s">
        <v>445</v>
      </c>
      <c r="B60" s="565" t="s">
        <v>46</v>
      </c>
      <c r="C60" s="1308">
        <f t="shared" ref="C60:H60" si="22">C59/$C$59*100</f>
        <v>100</v>
      </c>
      <c r="D60" s="1308">
        <f t="shared" si="22"/>
        <v>136.52781893156535</v>
      </c>
      <c r="E60" s="1308">
        <f t="shared" si="22"/>
        <v>162.99637023593468</v>
      </c>
      <c r="F60" s="1308">
        <f t="shared" si="22"/>
        <v>179.88158820697063</v>
      </c>
      <c r="G60" s="1308">
        <f t="shared" si="22"/>
        <v>196.76680617800656</v>
      </c>
      <c r="H60" s="1308">
        <f t="shared" si="22"/>
        <v>213.65202414904255</v>
      </c>
      <c r="I60" s="1313">
        <f t="shared" ref="I60" si="23">I59/$C$59*100</f>
        <v>230.5372421200785</v>
      </c>
      <c r="K60" s="46">
        <f>AVERAGE(E60:I60)</f>
        <v>196.76680617800659</v>
      </c>
    </row>
    <row r="61" spans="1:13" ht="16.5" thickBot="1">
      <c r="A61" s="566" t="s">
        <v>446</v>
      </c>
      <c r="B61" s="373" t="s">
        <v>46</v>
      </c>
      <c r="C61" s="1310">
        <f t="shared" ref="C61:H61" si="24">(C59-$C$59)/$C$59*100</f>
        <v>0</v>
      </c>
      <c r="D61" s="1310">
        <f t="shared" si="24"/>
        <v>36.527818931565356</v>
      </c>
      <c r="E61" s="1310">
        <f t="shared" si="24"/>
        <v>62.996370235934677</v>
      </c>
      <c r="F61" s="1310">
        <f t="shared" si="24"/>
        <v>79.881588206970619</v>
      </c>
      <c r="G61" s="1310">
        <f t="shared" si="24"/>
        <v>96.766806178006576</v>
      </c>
      <c r="H61" s="1310">
        <f t="shared" si="24"/>
        <v>113.65202414904255</v>
      </c>
      <c r="I61" s="1315">
        <f t="shared" ref="I61" si="25">(I59-$C$59)/$C$59*100</f>
        <v>130.5372421200785</v>
      </c>
      <c r="K61" s="150">
        <f>AVERAGE(E61:I61)</f>
        <v>96.76680617800659</v>
      </c>
    </row>
    <row r="62" spans="1:13">
      <c r="A62" s="2" t="s">
        <v>470</v>
      </c>
    </row>
    <row r="63" spans="1:13">
      <c r="A63" s="330" t="s">
        <v>527</v>
      </c>
    </row>
    <row r="65" spans="1:11" ht="15.75" customHeight="1">
      <c r="A65" s="2022" t="s">
        <v>528</v>
      </c>
      <c r="B65" s="960" t="s">
        <v>344</v>
      </c>
      <c r="C65" s="560" t="s">
        <v>323</v>
      </c>
      <c r="D65" s="560" t="s">
        <v>135</v>
      </c>
      <c r="E65" s="560" t="s">
        <v>177</v>
      </c>
      <c r="F65" s="560" t="s">
        <v>178</v>
      </c>
      <c r="G65" s="560" t="s">
        <v>179</v>
      </c>
      <c r="H65" s="560" t="s">
        <v>180</v>
      </c>
      <c r="I65" s="1311" t="s">
        <v>181</v>
      </c>
      <c r="K65" s="1013" t="s">
        <v>375</v>
      </c>
    </row>
    <row r="66" spans="1:11" ht="16.5" thickBot="1">
      <c r="A66" s="2023"/>
      <c r="B66" s="961" t="s">
        <v>345</v>
      </c>
      <c r="C66" s="561">
        <v>2024</v>
      </c>
      <c r="D66" s="561">
        <v>2025</v>
      </c>
      <c r="E66" s="561">
        <v>2026</v>
      </c>
      <c r="F66" s="561">
        <v>2027</v>
      </c>
      <c r="G66" s="561">
        <v>2028</v>
      </c>
      <c r="H66" s="561">
        <v>2029</v>
      </c>
      <c r="I66" s="561">
        <v>2030</v>
      </c>
      <c r="K66" s="1013" t="s">
        <v>467</v>
      </c>
    </row>
    <row r="67" spans="1:11" ht="15.75">
      <c r="A67" s="562" t="s">
        <v>182</v>
      </c>
      <c r="B67" s="563" t="s">
        <v>1</v>
      </c>
      <c r="C67" s="1307">
        <f>C59</f>
        <v>134995</v>
      </c>
      <c r="D67" s="1307">
        <f t="shared" ref="D67:I67" si="26">G16</f>
        <v>562.47916666666663</v>
      </c>
      <c r="E67" s="1307">
        <f t="shared" si="26"/>
        <v>14849.45</v>
      </c>
      <c r="F67" s="1307">
        <f t="shared" si="26"/>
        <v>16199.4</v>
      </c>
      <c r="G67" s="1307">
        <f t="shared" si="26"/>
        <v>17549.349999999999</v>
      </c>
      <c r="H67" s="1307">
        <f t="shared" si="26"/>
        <v>18899.3</v>
      </c>
      <c r="I67" s="1312">
        <f t="shared" si="26"/>
        <v>20249.25</v>
      </c>
      <c r="K67" s="46">
        <f>AVERAGE(E67:I67)</f>
        <v>17549.349999999999</v>
      </c>
    </row>
    <row r="68" spans="1:11" ht="15.75">
      <c r="A68" s="564" t="s">
        <v>445</v>
      </c>
      <c r="B68" s="565" t="s">
        <v>46</v>
      </c>
      <c r="C68" s="1308">
        <f t="shared" ref="C68:H68" si="27">C67/$C$67*100</f>
        <v>100</v>
      </c>
      <c r="D68" s="1308">
        <f t="shared" si="27"/>
        <v>0.41666666666666669</v>
      </c>
      <c r="E68" s="1308">
        <f t="shared" si="27"/>
        <v>11</v>
      </c>
      <c r="F68" s="1308">
        <f t="shared" si="27"/>
        <v>12</v>
      </c>
      <c r="G68" s="1308">
        <f t="shared" si="27"/>
        <v>12.999999999999998</v>
      </c>
      <c r="H68" s="1308">
        <f t="shared" si="27"/>
        <v>13.999999999999998</v>
      </c>
      <c r="I68" s="1313">
        <f t="shared" ref="I68" si="28">I67/$C$67*100</f>
        <v>15</v>
      </c>
      <c r="K68" s="46">
        <f>AVERAGE(E68:I68)</f>
        <v>13</v>
      </c>
    </row>
    <row r="69" spans="1:11" ht="16.5" thickBot="1">
      <c r="A69" s="566" t="s">
        <v>446</v>
      </c>
      <c r="B69" s="373" t="s">
        <v>46</v>
      </c>
      <c r="C69" s="1309">
        <f t="shared" ref="C69:H69" si="29">(C67-$C$67)/$C$67*100</f>
        <v>0</v>
      </c>
      <c r="D69" s="1309">
        <f t="shared" si="29"/>
        <v>-99.583333333333343</v>
      </c>
      <c r="E69" s="1309">
        <f t="shared" si="29"/>
        <v>-89</v>
      </c>
      <c r="F69" s="1309">
        <f t="shared" si="29"/>
        <v>-88</v>
      </c>
      <c r="G69" s="1309">
        <f t="shared" si="29"/>
        <v>-87</v>
      </c>
      <c r="H69" s="1309">
        <f t="shared" si="29"/>
        <v>-86</v>
      </c>
      <c r="I69" s="1314">
        <f t="shared" ref="I69" si="30">(I67-$C$67)/$C$67*100</f>
        <v>-85</v>
      </c>
      <c r="K69" s="150">
        <f>AVERAGE(E69:I69)</f>
        <v>-87</v>
      </c>
    </row>
    <row r="70" spans="1:11">
      <c r="A70" s="2" t="s">
        <v>470</v>
      </c>
    </row>
    <row r="72" spans="1:11">
      <c r="A72" s="330" t="s">
        <v>671</v>
      </c>
    </row>
  </sheetData>
  <mergeCells count="54">
    <mergeCell ref="V17:X17"/>
    <mergeCell ref="V25:X26"/>
    <mergeCell ref="V27:X27"/>
    <mergeCell ref="P24:U24"/>
    <mergeCell ref="V8:X8"/>
    <mergeCell ref="V13:X13"/>
    <mergeCell ref="P19:U19"/>
    <mergeCell ref="V20:X21"/>
    <mergeCell ref="V22:X22"/>
    <mergeCell ref="V23:X23"/>
    <mergeCell ref="A65:A66"/>
    <mergeCell ref="A34:N34"/>
    <mergeCell ref="V18:X18"/>
    <mergeCell ref="V28:X28"/>
    <mergeCell ref="M28:M29"/>
    <mergeCell ref="A45:A46"/>
    <mergeCell ref="A39:A40"/>
    <mergeCell ref="A37:A38"/>
    <mergeCell ref="B37:B38"/>
    <mergeCell ref="A43:A44"/>
    <mergeCell ref="B43:B44"/>
    <mergeCell ref="A28:A30"/>
    <mergeCell ref="A57:A58"/>
    <mergeCell ref="A51:A52"/>
    <mergeCell ref="V5:X6"/>
    <mergeCell ref="V7:X7"/>
    <mergeCell ref="A3:N3"/>
    <mergeCell ref="N14:N15"/>
    <mergeCell ref="M6:M7"/>
    <mergeCell ref="N6:N7"/>
    <mergeCell ref="B10:B11"/>
    <mergeCell ref="M10:M11"/>
    <mergeCell ref="N10:N11"/>
    <mergeCell ref="P4:U4"/>
    <mergeCell ref="P9:U9"/>
    <mergeCell ref="P14:U14"/>
    <mergeCell ref="V10:X11"/>
    <mergeCell ref="V12:X12"/>
    <mergeCell ref="V15:X16"/>
    <mergeCell ref="B6:B7"/>
    <mergeCell ref="M14:M15"/>
    <mergeCell ref="B23:B24"/>
    <mergeCell ref="M23:M24"/>
    <mergeCell ref="A14:A16"/>
    <mergeCell ref="A23:A26"/>
    <mergeCell ref="B18:B19"/>
    <mergeCell ref="A18:A21"/>
    <mergeCell ref="M18:M19"/>
    <mergeCell ref="A6:A8"/>
    <mergeCell ref="A10:A12"/>
    <mergeCell ref="B14:B15"/>
    <mergeCell ref="A49:A50"/>
    <mergeCell ref="B49:B50"/>
    <mergeCell ref="B28:B29"/>
  </mergeCells>
  <pageMargins left="0.7" right="0.7" top="0.78740157499999996" bottom="0.78740157499999996" header="0.3" footer="0.3"/>
  <pageSetup paperSize="9" orientation="portrait" verticalDpi="0" r:id="rId1"/>
  <ignoredErrors>
    <ignoredError sqref="P17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  <pageSetUpPr fitToPage="1"/>
  </sheetPr>
  <dimension ref="A1:Q338"/>
  <sheetViews>
    <sheetView showGridLines="0" zoomScaleNormal="100" workbookViewId="0">
      <selection activeCell="F58" sqref="F58"/>
    </sheetView>
  </sheetViews>
  <sheetFormatPr defaultRowHeight="15"/>
  <cols>
    <col min="1" max="1" width="47.140625" customWidth="1"/>
    <col min="2" max="2" width="20.140625" customWidth="1"/>
    <col min="3" max="3" width="15.140625" customWidth="1"/>
    <col min="4" max="4" width="18.42578125" customWidth="1"/>
    <col min="5" max="6" width="16.7109375" customWidth="1"/>
    <col min="7" max="8" width="17.42578125" bestFit="1" customWidth="1"/>
    <col min="9" max="12" width="16.7109375" customWidth="1"/>
    <col min="13" max="13" width="24.7109375" customWidth="1"/>
    <col min="14" max="14" width="27.140625" style="1" customWidth="1"/>
    <col min="15" max="15" width="22.140625" customWidth="1"/>
    <col min="16" max="16" width="14" customWidth="1"/>
    <col min="17" max="17" width="19.28515625" customWidth="1"/>
    <col min="18" max="18" width="18.5703125" customWidth="1"/>
    <col min="19" max="19" width="16.5703125" bestFit="1" customWidth="1"/>
    <col min="20" max="30" width="14.7109375" bestFit="1" customWidth="1"/>
    <col min="31" max="31" width="16.140625" bestFit="1" customWidth="1"/>
    <col min="32" max="32" width="16.28515625" bestFit="1" customWidth="1"/>
  </cols>
  <sheetData>
    <row r="1" spans="1:14" ht="15.75">
      <c r="A1" s="1604" t="str">
        <f>'Položkový rozpočet projektu'!A1:A1</f>
        <v>Modelový projekt: "Zvýšení technologické vybavenosti společnosti Šroub &amp; Matka, spol. s r.o. v Ostravě"</v>
      </c>
      <c r="B1" s="1608"/>
      <c r="C1" s="6"/>
      <c r="D1" s="6"/>
      <c r="E1" s="1609"/>
      <c r="F1" s="2"/>
      <c r="G1" s="2"/>
      <c r="H1" s="595"/>
    </row>
    <row r="2" spans="1:14" ht="15.75" thickBot="1"/>
    <row r="3" spans="1:14" ht="21.75" thickBot="1">
      <c r="A3" s="697" t="s">
        <v>565</v>
      </c>
      <c r="B3" s="645"/>
      <c r="C3" s="645"/>
      <c r="D3" s="2036" t="s">
        <v>656</v>
      </c>
      <c r="E3" s="2036"/>
      <c r="F3" s="2036"/>
      <c r="G3" s="2036"/>
      <c r="H3" s="2036"/>
      <c r="I3" s="2036"/>
      <c r="J3" s="2036"/>
      <c r="K3" s="2036"/>
      <c r="L3" s="2036"/>
      <c r="M3" s="2036"/>
      <c r="N3" s="2037"/>
    </row>
    <row r="4" spans="1:14" ht="15.75" thickBot="1"/>
    <row r="5" spans="1:14" ht="21.75" thickBot="1">
      <c r="A5" s="2043" t="s">
        <v>124</v>
      </c>
      <c r="B5" s="2044"/>
      <c r="C5" s="2044"/>
      <c r="D5" s="2044"/>
      <c r="E5" s="2044"/>
      <c r="F5" s="2044"/>
      <c r="G5" s="2044"/>
      <c r="H5" s="2044"/>
      <c r="I5" s="2044"/>
      <c r="J5" s="2044"/>
      <c r="K5" s="2044"/>
      <c r="L5" s="2044"/>
      <c r="M5" s="2045"/>
    </row>
    <row r="7" spans="1:14" ht="18.75">
      <c r="A7" s="752" t="s">
        <v>699</v>
      </c>
      <c r="B7" s="38"/>
      <c r="C7" s="38"/>
      <c r="D7" s="38"/>
    </row>
    <row r="8" spans="1:14" ht="15.75" thickBot="1"/>
    <row r="9" spans="1:14" ht="15.75" thickBot="1">
      <c r="A9" s="649" t="s">
        <v>62</v>
      </c>
      <c r="B9" s="24" t="s">
        <v>14</v>
      </c>
      <c r="C9" s="28">
        <v>2025</v>
      </c>
      <c r="D9" s="32">
        <v>2026</v>
      </c>
      <c r="E9" s="22">
        <v>2027</v>
      </c>
      <c r="F9" s="32">
        <v>2028</v>
      </c>
      <c r="G9" s="22">
        <v>2029</v>
      </c>
      <c r="H9" s="32">
        <v>2030</v>
      </c>
      <c r="I9" s="22">
        <v>2031</v>
      </c>
      <c r="J9" s="32">
        <v>2032</v>
      </c>
      <c r="K9" s="22">
        <v>2033</v>
      </c>
      <c r="L9" s="32">
        <v>2034</v>
      </c>
      <c r="M9" s="704" t="s">
        <v>700</v>
      </c>
      <c r="N9" s="14" t="s">
        <v>255</v>
      </c>
    </row>
    <row r="10" spans="1:14" ht="15.75" thickBot="1">
      <c r="A10" s="649" t="s">
        <v>592</v>
      </c>
      <c r="B10" s="24" t="s">
        <v>256</v>
      </c>
      <c r="C10" s="28">
        <v>1</v>
      </c>
      <c r="D10" s="32">
        <v>2</v>
      </c>
      <c r="E10" s="32">
        <v>3</v>
      </c>
      <c r="F10" s="32">
        <v>4</v>
      </c>
      <c r="G10" s="32">
        <v>5</v>
      </c>
      <c r="H10" s="32">
        <v>6</v>
      </c>
      <c r="I10" s="32">
        <v>7</v>
      </c>
      <c r="J10" s="32">
        <v>8</v>
      </c>
      <c r="K10" s="32">
        <v>9</v>
      </c>
      <c r="L10" s="32">
        <v>10</v>
      </c>
      <c r="M10" s="704"/>
      <c r="N10" s="14"/>
    </row>
    <row r="11" spans="1:14" ht="15.75" thickBot="1">
      <c r="A11" s="650" t="s">
        <v>593</v>
      </c>
      <c r="B11" s="647" t="s">
        <v>272</v>
      </c>
      <c r="C11" s="1474">
        <v>0</v>
      </c>
      <c r="D11" s="1475">
        <v>1</v>
      </c>
      <c r="E11" s="1475">
        <v>2</v>
      </c>
      <c r="F11" s="1475">
        <v>3</v>
      </c>
      <c r="G11" s="1475">
        <v>4</v>
      </c>
      <c r="H11" s="1475">
        <v>5</v>
      </c>
      <c r="I11" s="1475">
        <v>6</v>
      </c>
      <c r="J11" s="1475">
        <v>7</v>
      </c>
      <c r="K11" s="1475">
        <v>8</v>
      </c>
      <c r="L11" s="1476">
        <v>9</v>
      </c>
      <c r="M11" s="704" t="s">
        <v>296</v>
      </c>
    </row>
    <row r="12" spans="1:14" s="796" customFormat="1" ht="15.75" customHeight="1" thickBot="1">
      <c r="A12" s="649" t="s">
        <v>594</v>
      </c>
      <c r="B12" s="24" t="s">
        <v>595</v>
      </c>
      <c r="C12" s="872" t="s">
        <v>429</v>
      </c>
      <c r="D12" s="1598" t="s">
        <v>636</v>
      </c>
      <c r="E12" s="1598" t="s">
        <v>636</v>
      </c>
      <c r="F12" s="1598" t="s">
        <v>636</v>
      </c>
      <c r="G12" s="1598" t="s">
        <v>636</v>
      </c>
      <c r="H12" s="1598" t="s">
        <v>636</v>
      </c>
      <c r="I12" s="876" t="s">
        <v>40</v>
      </c>
      <c r="J12" s="876" t="s">
        <v>40</v>
      </c>
      <c r="K12" s="876" t="s">
        <v>40</v>
      </c>
      <c r="L12" s="877" t="s">
        <v>40</v>
      </c>
      <c r="M12" s="880" t="s">
        <v>254</v>
      </c>
      <c r="N12" s="1447"/>
    </row>
    <row r="13" spans="1:14" ht="18.75" customHeight="1" thickBot="1">
      <c r="A13" s="649" t="s">
        <v>309</v>
      </c>
      <c r="B13" s="647" t="s">
        <v>2</v>
      </c>
      <c r="C13" s="687" t="s">
        <v>430</v>
      </c>
      <c r="D13" s="680">
        <v>12</v>
      </c>
      <c r="E13" s="681">
        <v>12</v>
      </c>
      <c r="F13" s="681">
        <v>12</v>
      </c>
      <c r="G13" s="681">
        <v>12</v>
      </c>
      <c r="H13" s="681">
        <v>12</v>
      </c>
      <c r="I13" s="681">
        <v>12</v>
      </c>
      <c r="J13" s="681">
        <v>12</v>
      </c>
      <c r="K13" s="681">
        <v>12</v>
      </c>
      <c r="L13" s="682">
        <v>12</v>
      </c>
      <c r="M13" s="704" t="s">
        <v>34</v>
      </c>
    </row>
    <row r="14" spans="1:14">
      <c r="A14" s="661" t="s">
        <v>275</v>
      </c>
      <c r="B14" s="685" t="s">
        <v>1</v>
      </c>
      <c r="C14" s="688">
        <f>'Provozní výnosy'!D15</f>
        <v>0</v>
      </c>
      <c r="D14" s="97">
        <f>'Provozní výnosy'!E15</f>
        <v>0</v>
      </c>
      <c r="E14" s="678">
        <f>'Provozní výnosy'!F15</f>
        <v>0</v>
      </c>
      <c r="F14" s="678">
        <f>'Provozní výnosy'!G15</f>
        <v>0</v>
      </c>
      <c r="G14" s="678">
        <f>'Provozní výnosy'!H15</f>
        <v>0</v>
      </c>
      <c r="H14" s="678">
        <f>'Provozní výnosy'!I15</f>
        <v>0</v>
      </c>
      <c r="I14" s="678">
        <f>'Provozní výnosy'!J15</f>
        <v>0</v>
      </c>
      <c r="J14" s="678">
        <f>'Provozní výnosy'!K15</f>
        <v>0</v>
      </c>
      <c r="K14" s="678">
        <f>'Provozní výnosy'!L15</f>
        <v>0</v>
      </c>
      <c r="L14" s="690">
        <f>'Provozní výnosy'!M15</f>
        <v>0</v>
      </c>
      <c r="M14" s="672">
        <f>SUM(C14:L14)</f>
        <v>0</v>
      </c>
    </row>
    <row r="15" spans="1:14">
      <c r="A15" s="662" t="s">
        <v>276</v>
      </c>
      <c r="B15" s="665" t="s">
        <v>1</v>
      </c>
      <c r="C15" s="668">
        <f>'Provozní náklady'!D51</f>
        <v>0</v>
      </c>
      <c r="D15" s="683">
        <f>'Provozní náklady'!E51</f>
        <v>0</v>
      </c>
      <c r="E15" s="675">
        <f>'Provozní náklady'!F51</f>
        <v>0</v>
      </c>
      <c r="F15" s="675">
        <f>'Provozní náklady'!G51</f>
        <v>0</v>
      </c>
      <c r="G15" s="675">
        <f>'Provozní náklady'!H51</f>
        <v>0</v>
      </c>
      <c r="H15" s="675">
        <f>'Provozní náklady'!I51</f>
        <v>0</v>
      </c>
      <c r="I15" s="675">
        <f>'Provozní náklady'!J51</f>
        <v>0</v>
      </c>
      <c r="J15" s="675">
        <f>'Provozní náklady'!K51</f>
        <v>0</v>
      </c>
      <c r="K15" s="675">
        <f>'Provozní náklady'!L51</f>
        <v>0</v>
      </c>
      <c r="L15" s="691">
        <f>'Provozní náklady'!M51</f>
        <v>0</v>
      </c>
      <c r="M15" s="673">
        <f>SUM(C15:L15)</f>
        <v>0</v>
      </c>
    </row>
    <row r="16" spans="1:14">
      <c r="A16" s="662" t="s">
        <v>277</v>
      </c>
      <c r="B16" s="665" t="s">
        <v>1</v>
      </c>
      <c r="C16" s="668">
        <f>'Investiční náklady_vznik'!D13</f>
        <v>0</v>
      </c>
      <c r="D16" s="683">
        <v>0</v>
      </c>
      <c r="E16" s="675">
        <v>0</v>
      </c>
      <c r="F16" s="675">
        <v>0</v>
      </c>
      <c r="G16" s="675">
        <v>0</v>
      </c>
      <c r="H16" s="675">
        <v>0</v>
      </c>
      <c r="I16" s="675">
        <v>0</v>
      </c>
      <c r="J16" s="675">
        <v>0</v>
      </c>
      <c r="K16" s="675">
        <v>0</v>
      </c>
      <c r="L16" s="691">
        <v>0</v>
      </c>
      <c r="M16" s="673">
        <f>SUM(C16:L16)</f>
        <v>0</v>
      </c>
    </row>
    <row r="17" spans="1:14" ht="15.75" thickBot="1">
      <c r="A17" s="676" t="s">
        <v>278</v>
      </c>
      <c r="B17" s="686" t="s">
        <v>1</v>
      </c>
      <c r="C17" s="689"/>
      <c r="D17" s="111"/>
      <c r="E17" s="112"/>
      <c r="F17" s="112"/>
      <c r="G17" s="112"/>
      <c r="H17" s="112"/>
      <c r="I17" s="112"/>
      <c r="J17" s="112"/>
      <c r="K17" s="112"/>
      <c r="L17" s="692">
        <v>0</v>
      </c>
      <c r="M17" s="677">
        <f>SUM(C17:L17)</f>
        <v>0</v>
      </c>
    </row>
    <row r="18" spans="1:14" ht="15.75" thickBot="1">
      <c r="A18" s="659" t="s">
        <v>293</v>
      </c>
      <c r="B18" s="660" t="s">
        <v>1</v>
      </c>
      <c r="C18" s="659">
        <f>C14-C15-C16+C17</f>
        <v>0</v>
      </c>
      <c r="D18" s="684">
        <f t="shared" ref="D18:L18" si="0">D14-D15-D16+D17</f>
        <v>0</v>
      </c>
      <c r="E18" s="659">
        <f t="shared" si="0"/>
        <v>0</v>
      </c>
      <c r="F18" s="659">
        <f t="shared" si="0"/>
        <v>0</v>
      </c>
      <c r="G18" s="659">
        <f t="shared" si="0"/>
        <v>0</v>
      </c>
      <c r="H18" s="659">
        <f t="shared" si="0"/>
        <v>0</v>
      </c>
      <c r="I18" s="659">
        <f t="shared" si="0"/>
        <v>0</v>
      </c>
      <c r="J18" s="659">
        <f t="shared" si="0"/>
        <v>0</v>
      </c>
      <c r="K18" s="659">
        <f t="shared" si="0"/>
        <v>0</v>
      </c>
      <c r="L18" s="659">
        <f t="shared" si="0"/>
        <v>0</v>
      </c>
      <c r="M18" s="684">
        <f>SUM(C18:L18)</f>
        <v>0</v>
      </c>
      <c r="N18" s="737">
        <f>M14-M15-M16+M17</f>
        <v>0</v>
      </c>
    </row>
    <row r="19" spans="1:14" ht="15.75" thickBot="1"/>
    <row r="20" spans="1:14" ht="19.5" customHeight="1" thickBot="1">
      <c r="A20" s="1389" t="s">
        <v>550</v>
      </c>
      <c r="B20" s="1446">
        <v>0.04</v>
      </c>
    </row>
    <row r="21" spans="1:14" ht="15.75" customHeight="1">
      <c r="A21" s="646"/>
    </row>
    <row r="22" spans="1:14" ht="18.75">
      <c r="A22" s="752" t="s">
        <v>701</v>
      </c>
      <c r="B22" s="38"/>
      <c r="C22" s="38"/>
      <c r="D22" s="38"/>
    </row>
    <row r="23" spans="1:14" ht="15.75" thickBot="1"/>
    <row r="24" spans="1:14" ht="15.75" thickBot="1">
      <c r="A24" s="649" t="s">
        <v>62</v>
      </c>
      <c r="B24" s="24" t="s">
        <v>14</v>
      </c>
      <c r="C24" s="28">
        <v>2025</v>
      </c>
      <c r="D24" s="32">
        <v>2026</v>
      </c>
      <c r="E24" s="22">
        <v>2027</v>
      </c>
      <c r="F24" s="32">
        <v>2028</v>
      </c>
      <c r="G24" s="22">
        <v>2029</v>
      </c>
      <c r="H24" s="32">
        <v>2030</v>
      </c>
      <c r="I24" s="22">
        <v>2031</v>
      </c>
      <c r="J24" s="32">
        <v>2032</v>
      </c>
      <c r="K24" s="22">
        <v>2033</v>
      </c>
      <c r="L24" s="32">
        <v>2034</v>
      </c>
      <c r="M24" s="704" t="s">
        <v>700</v>
      </c>
      <c r="N24" s="14" t="s">
        <v>255</v>
      </c>
    </row>
    <row r="25" spans="1:14" ht="15.75" thickBot="1">
      <c r="A25" s="649" t="s">
        <v>592</v>
      </c>
      <c r="B25" s="24" t="s">
        <v>256</v>
      </c>
      <c r="C25" s="28">
        <v>1</v>
      </c>
      <c r="D25" s="32">
        <v>2</v>
      </c>
      <c r="E25" s="32">
        <v>3</v>
      </c>
      <c r="F25" s="32">
        <v>4</v>
      </c>
      <c r="G25" s="32">
        <v>5</v>
      </c>
      <c r="H25" s="32">
        <v>6</v>
      </c>
      <c r="I25" s="32">
        <v>7</v>
      </c>
      <c r="J25" s="32">
        <v>8</v>
      </c>
      <c r="K25" s="32">
        <v>9</v>
      </c>
      <c r="L25" s="32">
        <v>10</v>
      </c>
      <c r="M25" s="704"/>
      <c r="N25" s="14"/>
    </row>
    <row r="26" spans="1:14" ht="15.75" thickBot="1">
      <c r="A26" s="650" t="s">
        <v>593</v>
      </c>
      <c r="B26" s="647" t="s">
        <v>272</v>
      </c>
      <c r="C26" s="1474">
        <v>0</v>
      </c>
      <c r="D26" s="1475">
        <v>1</v>
      </c>
      <c r="E26" s="1475">
        <v>2</v>
      </c>
      <c r="F26" s="1475">
        <v>3</v>
      </c>
      <c r="G26" s="1475">
        <v>4</v>
      </c>
      <c r="H26" s="1475">
        <v>5</v>
      </c>
      <c r="I26" s="1475">
        <v>6</v>
      </c>
      <c r="J26" s="1475">
        <v>7</v>
      </c>
      <c r="K26" s="1475">
        <v>8</v>
      </c>
      <c r="L26" s="1476">
        <v>9</v>
      </c>
      <c r="M26" s="704" t="s">
        <v>296</v>
      </c>
    </row>
    <row r="27" spans="1:14" s="796" customFormat="1" ht="15.75" customHeight="1" thickBot="1">
      <c r="A27" s="649" t="s">
        <v>594</v>
      </c>
      <c r="B27" s="24" t="s">
        <v>595</v>
      </c>
      <c r="C27" s="872" t="s">
        <v>429</v>
      </c>
      <c r="D27" s="1598" t="s">
        <v>636</v>
      </c>
      <c r="E27" s="1598" t="s">
        <v>636</v>
      </c>
      <c r="F27" s="1598" t="s">
        <v>636</v>
      </c>
      <c r="G27" s="1598" t="s">
        <v>636</v>
      </c>
      <c r="H27" s="1598" t="s">
        <v>636</v>
      </c>
      <c r="I27" s="876" t="s">
        <v>40</v>
      </c>
      <c r="J27" s="876" t="s">
        <v>40</v>
      </c>
      <c r="K27" s="876" t="s">
        <v>40</v>
      </c>
      <c r="L27" s="877" t="s">
        <v>40</v>
      </c>
      <c r="M27" s="880" t="s">
        <v>254</v>
      </c>
      <c r="N27" s="1447"/>
    </row>
    <row r="28" spans="1:14" ht="15.75" thickBot="1">
      <c r="A28" s="649" t="s">
        <v>309</v>
      </c>
      <c r="B28" s="647" t="s">
        <v>2</v>
      </c>
      <c r="C28" s="687" t="s">
        <v>430</v>
      </c>
      <c r="D28" s="680">
        <v>12</v>
      </c>
      <c r="E28" s="681">
        <v>12</v>
      </c>
      <c r="F28" s="681">
        <v>12</v>
      </c>
      <c r="G28" s="681">
        <v>12</v>
      </c>
      <c r="H28" s="681">
        <v>12</v>
      </c>
      <c r="I28" s="681">
        <v>12</v>
      </c>
      <c r="J28" s="681">
        <v>12</v>
      </c>
      <c r="K28" s="681">
        <v>12</v>
      </c>
      <c r="L28" s="682">
        <v>12</v>
      </c>
      <c r="M28" s="704" t="s">
        <v>34</v>
      </c>
    </row>
    <row r="29" spans="1:14">
      <c r="A29" s="661" t="s">
        <v>275</v>
      </c>
      <c r="B29" s="685" t="s">
        <v>1</v>
      </c>
      <c r="C29" s="688">
        <f>C14/(1+$B$20)^C11</f>
        <v>0</v>
      </c>
      <c r="D29" s="97">
        <f>D14/(1+$B$20)^D11</f>
        <v>0</v>
      </c>
      <c r="E29" s="678">
        <f t="shared" ref="E29:L29" si="1">E14/(1+$B$20)^E11</f>
        <v>0</v>
      </c>
      <c r="F29" s="678">
        <f t="shared" si="1"/>
        <v>0</v>
      </c>
      <c r="G29" s="678">
        <f t="shared" si="1"/>
        <v>0</v>
      </c>
      <c r="H29" s="678">
        <f t="shared" si="1"/>
        <v>0</v>
      </c>
      <c r="I29" s="678">
        <f t="shared" si="1"/>
        <v>0</v>
      </c>
      <c r="J29" s="678">
        <f t="shared" si="1"/>
        <v>0</v>
      </c>
      <c r="K29" s="678">
        <f t="shared" si="1"/>
        <v>0</v>
      </c>
      <c r="L29" s="690">
        <f t="shared" si="1"/>
        <v>0</v>
      </c>
      <c r="M29" s="672">
        <f>SUM(C29:L29)</f>
        <v>0</v>
      </c>
    </row>
    <row r="30" spans="1:14">
      <c r="A30" s="662" t="s">
        <v>276</v>
      </c>
      <c r="B30" s="665" t="s">
        <v>1</v>
      </c>
      <c r="C30" s="668">
        <f>C15/(1+$B$20)^C11</f>
        <v>0</v>
      </c>
      <c r="D30" s="683">
        <f t="shared" ref="D30:L30" si="2">D15/(1+$B$20)^D11</f>
        <v>0</v>
      </c>
      <c r="E30" s="675">
        <f t="shared" si="2"/>
        <v>0</v>
      </c>
      <c r="F30" s="675">
        <f t="shared" si="2"/>
        <v>0</v>
      </c>
      <c r="G30" s="675">
        <f t="shared" si="2"/>
        <v>0</v>
      </c>
      <c r="H30" s="675">
        <f t="shared" si="2"/>
        <v>0</v>
      </c>
      <c r="I30" s="675">
        <f t="shared" si="2"/>
        <v>0</v>
      </c>
      <c r="J30" s="675">
        <f t="shared" si="2"/>
        <v>0</v>
      </c>
      <c r="K30" s="675">
        <f t="shared" si="2"/>
        <v>0</v>
      </c>
      <c r="L30" s="691">
        <f t="shared" si="2"/>
        <v>0</v>
      </c>
      <c r="M30" s="673">
        <f>SUM(C30:L30)</f>
        <v>0</v>
      </c>
    </row>
    <row r="31" spans="1:14">
      <c r="A31" s="662" t="s">
        <v>277</v>
      </c>
      <c r="B31" s="665" t="s">
        <v>1</v>
      </c>
      <c r="C31" s="668">
        <f>C16/(1+$B$20)^C11</f>
        <v>0</v>
      </c>
      <c r="D31" s="683">
        <f t="shared" ref="D31:L31" si="3">D16/(1+$B$20)^D11</f>
        <v>0</v>
      </c>
      <c r="E31" s="675">
        <f t="shared" si="3"/>
        <v>0</v>
      </c>
      <c r="F31" s="675">
        <f t="shared" si="3"/>
        <v>0</v>
      </c>
      <c r="G31" s="675">
        <f t="shared" si="3"/>
        <v>0</v>
      </c>
      <c r="H31" s="675">
        <f t="shared" si="3"/>
        <v>0</v>
      </c>
      <c r="I31" s="675">
        <f t="shared" si="3"/>
        <v>0</v>
      </c>
      <c r="J31" s="675">
        <f t="shared" si="3"/>
        <v>0</v>
      </c>
      <c r="K31" s="675">
        <f t="shared" si="3"/>
        <v>0</v>
      </c>
      <c r="L31" s="691">
        <f t="shared" si="3"/>
        <v>0</v>
      </c>
      <c r="M31" s="673">
        <f>SUM(C31:L31)</f>
        <v>0</v>
      </c>
    </row>
    <row r="32" spans="1:14" ht="15.75" thickBot="1">
      <c r="A32" s="676" t="s">
        <v>278</v>
      </c>
      <c r="B32" s="686" t="s">
        <v>1</v>
      </c>
      <c r="C32" s="689"/>
      <c r="D32" s="111"/>
      <c r="E32" s="112"/>
      <c r="F32" s="112"/>
      <c r="G32" s="112"/>
      <c r="H32" s="112"/>
      <c r="I32" s="112"/>
      <c r="J32" s="112"/>
      <c r="K32" s="112"/>
      <c r="L32" s="692">
        <f>L17/(1+$B$20)^L11</f>
        <v>0</v>
      </c>
      <c r="M32" s="677">
        <f>SUM(C32:L32)</f>
        <v>0</v>
      </c>
    </row>
    <row r="33" spans="1:14" ht="15.75" thickBot="1">
      <c r="A33" s="659" t="s">
        <v>293</v>
      </c>
      <c r="B33" s="660" t="s">
        <v>1</v>
      </c>
      <c r="C33" s="659">
        <f>C29-C30-C31+C32</f>
        <v>0</v>
      </c>
      <c r="D33" s="684">
        <f t="shared" ref="D33:L33" si="4">D29-D30-D31+D32</f>
        <v>0</v>
      </c>
      <c r="E33" s="659">
        <f t="shared" si="4"/>
        <v>0</v>
      </c>
      <c r="F33" s="659">
        <f t="shared" si="4"/>
        <v>0</v>
      </c>
      <c r="G33" s="659">
        <f t="shared" si="4"/>
        <v>0</v>
      </c>
      <c r="H33" s="659">
        <f t="shared" si="4"/>
        <v>0</v>
      </c>
      <c r="I33" s="659">
        <f t="shared" si="4"/>
        <v>0</v>
      </c>
      <c r="J33" s="659">
        <f t="shared" si="4"/>
        <v>0</v>
      </c>
      <c r="K33" s="659">
        <f t="shared" si="4"/>
        <v>0</v>
      </c>
      <c r="L33" s="659">
        <f t="shared" si="4"/>
        <v>0</v>
      </c>
      <c r="M33" s="684">
        <f>SUM(C33:L33)</f>
        <v>0</v>
      </c>
      <c r="N33" s="737">
        <f>M29-M30-M31+M32</f>
        <v>0</v>
      </c>
    </row>
    <row r="35" spans="1:14" ht="15.75" thickBot="1"/>
    <row r="36" spans="1:14" s="21" customFormat="1" ht="21.75" thickBot="1">
      <c r="A36" s="2040" t="s">
        <v>121</v>
      </c>
      <c r="B36" s="2041"/>
      <c r="C36" s="2041"/>
      <c r="D36" s="2041"/>
      <c r="E36" s="2041"/>
      <c r="F36" s="2041"/>
      <c r="G36" s="2041"/>
      <c r="H36" s="2041"/>
      <c r="I36" s="2041"/>
      <c r="J36" s="2041"/>
      <c r="K36" s="2041"/>
      <c r="L36" s="2041"/>
      <c r="M36" s="2042"/>
      <c r="N36" s="1"/>
    </row>
    <row r="38" spans="1:14" ht="18.75">
      <c r="A38" s="752" t="s">
        <v>699</v>
      </c>
      <c r="B38" s="38"/>
      <c r="C38" s="38"/>
      <c r="D38" s="38"/>
    </row>
    <row r="39" spans="1:14" ht="15.75" thickBot="1"/>
    <row r="40" spans="1:14" ht="15.75" thickBot="1">
      <c r="A40" s="649" t="s">
        <v>62</v>
      </c>
      <c r="B40" s="24" t="s">
        <v>14</v>
      </c>
      <c r="C40" s="28">
        <v>2025</v>
      </c>
      <c r="D40" s="32">
        <v>2026</v>
      </c>
      <c r="E40" s="22">
        <v>2027</v>
      </c>
      <c r="F40" s="32">
        <v>2028</v>
      </c>
      <c r="G40" s="22">
        <v>2029</v>
      </c>
      <c r="H40" s="32">
        <v>2030</v>
      </c>
      <c r="I40" s="22">
        <v>2031</v>
      </c>
      <c r="J40" s="32">
        <v>2032</v>
      </c>
      <c r="K40" s="22">
        <v>2033</v>
      </c>
      <c r="L40" s="32">
        <v>2034</v>
      </c>
      <c r="M40" s="704" t="s">
        <v>700</v>
      </c>
      <c r="N40" s="14" t="s">
        <v>255</v>
      </c>
    </row>
    <row r="41" spans="1:14" ht="15.75" thickBot="1">
      <c r="A41" s="649" t="s">
        <v>592</v>
      </c>
      <c r="B41" s="24" t="s">
        <v>256</v>
      </c>
      <c r="C41" s="28">
        <v>1</v>
      </c>
      <c r="D41" s="32">
        <v>2</v>
      </c>
      <c r="E41" s="32">
        <v>3</v>
      </c>
      <c r="F41" s="32">
        <v>4</v>
      </c>
      <c r="G41" s="32">
        <v>5</v>
      </c>
      <c r="H41" s="32">
        <v>6</v>
      </c>
      <c r="I41" s="32">
        <v>7</v>
      </c>
      <c r="J41" s="32">
        <v>8</v>
      </c>
      <c r="K41" s="32">
        <v>9</v>
      </c>
      <c r="L41" s="32">
        <v>10</v>
      </c>
      <c r="M41" s="704"/>
      <c r="N41" s="14"/>
    </row>
    <row r="42" spans="1:14" ht="15.75" thickBot="1">
      <c r="A42" s="650" t="s">
        <v>593</v>
      </c>
      <c r="B42" s="1478" t="s">
        <v>272</v>
      </c>
      <c r="C42" s="1480">
        <v>0</v>
      </c>
      <c r="D42" s="1481">
        <v>1</v>
      </c>
      <c r="E42" s="1481">
        <v>2</v>
      </c>
      <c r="F42" s="1481">
        <v>3</v>
      </c>
      <c r="G42" s="1481">
        <v>4</v>
      </c>
      <c r="H42" s="1481">
        <v>5</v>
      </c>
      <c r="I42" s="1481">
        <v>6</v>
      </c>
      <c r="J42" s="1481">
        <v>7</v>
      </c>
      <c r="K42" s="1481">
        <v>8</v>
      </c>
      <c r="L42" s="1482">
        <v>9</v>
      </c>
      <c r="M42" s="704" t="s">
        <v>296</v>
      </c>
    </row>
    <row r="43" spans="1:14" s="796" customFormat="1" ht="15.75" customHeight="1" thickBot="1">
      <c r="A43" s="649" t="s">
        <v>594</v>
      </c>
      <c r="B43" s="24" t="s">
        <v>595</v>
      </c>
      <c r="C43" s="1479" t="s">
        <v>429</v>
      </c>
      <c r="D43" s="1598" t="s">
        <v>636</v>
      </c>
      <c r="E43" s="1598" t="s">
        <v>636</v>
      </c>
      <c r="F43" s="1598" t="s">
        <v>636</v>
      </c>
      <c r="G43" s="1598" t="s">
        <v>636</v>
      </c>
      <c r="H43" s="1598" t="s">
        <v>636</v>
      </c>
      <c r="I43" s="876" t="s">
        <v>40</v>
      </c>
      <c r="J43" s="876" t="s">
        <v>40</v>
      </c>
      <c r="K43" s="876" t="s">
        <v>40</v>
      </c>
      <c r="L43" s="877" t="s">
        <v>40</v>
      </c>
      <c r="M43" s="880" t="s">
        <v>254</v>
      </c>
      <c r="N43" s="1447"/>
    </row>
    <row r="44" spans="1:14" ht="15.75" thickBot="1">
      <c r="A44" s="649" t="s">
        <v>309</v>
      </c>
      <c r="B44" s="647" t="s">
        <v>2</v>
      </c>
      <c r="C44" s="687" t="s">
        <v>430</v>
      </c>
      <c r="D44" s="680">
        <v>12</v>
      </c>
      <c r="E44" s="681">
        <v>12</v>
      </c>
      <c r="F44" s="681">
        <v>12</v>
      </c>
      <c r="G44" s="681">
        <v>12</v>
      </c>
      <c r="H44" s="681">
        <v>12</v>
      </c>
      <c r="I44" s="681">
        <v>12</v>
      </c>
      <c r="J44" s="681">
        <v>12</v>
      </c>
      <c r="K44" s="681">
        <v>12</v>
      </c>
      <c r="L44" s="682">
        <v>12</v>
      </c>
      <c r="M44" s="653" t="s">
        <v>34</v>
      </c>
    </row>
    <row r="45" spans="1:14" ht="16.5" thickTop="1" thickBot="1">
      <c r="A45" s="1670" t="s">
        <v>275</v>
      </c>
      <c r="B45" s="1669" t="s">
        <v>1</v>
      </c>
      <c r="C45" s="1385">
        <f>'Provozní výnosy'!D31</f>
        <v>1408863.2064166665</v>
      </c>
      <c r="D45" s="1387">
        <f>'Provozní výnosy'!E31</f>
        <v>14849450</v>
      </c>
      <c r="E45" s="463">
        <f>'Provozní výnosy'!F31</f>
        <v>16199400</v>
      </c>
      <c r="F45" s="693">
        <f>'Provozní výnosy'!G31</f>
        <v>17549350</v>
      </c>
      <c r="G45" s="693">
        <f>'Provozní výnosy'!H31</f>
        <v>18899300</v>
      </c>
      <c r="H45" s="693">
        <f>'Provozní výnosy'!I31</f>
        <v>20249250</v>
      </c>
      <c r="I45" s="693">
        <f>'Provozní výnosy'!J31</f>
        <v>20654235</v>
      </c>
      <c r="J45" s="693">
        <f>'Provozní výnosy'!K31</f>
        <v>21067319.699999999</v>
      </c>
      <c r="K45" s="693">
        <f>'Provozní výnosy'!L31</f>
        <v>21488666.094000001</v>
      </c>
      <c r="L45" s="1667">
        <f>'Provozní výnosy'!M31</f>
        <v>21918439.415880002</v>
      </c>
      <c r="M45" s="1668">
        <f>SUM(C45:L45)</f>
        <v>174284273.41629666</v>
      </c>
    </row>
    <row r="46" spans="1:14" ht="15.75" thickTop="1">
      <c r="A46" s="1477" t="s">
        <v>276</v>
      </c>
      <c r="B46" s="665" t="s">
        <v>1</v>
      </c>
      <c r="C46" s="668">
        <f>'Provozní náklady'!D111</f>
        <v>1408863.2064166665</v>
      </c>
      <c r="D46" s="1386">
        <f>'Provozní náklady'!E111-'Provozní náklady'!E103</f>
        <v>14571455.500958333</v>
      </c>
      <c r="E46" s="675">
        <f>'Provozní náklady'!F111-'Provozní náklady'!F103</f>
        <v>14907220.548617916</v>
      </c>
      <c r="F46" s="675">
        <f>'Provozní náklady'!G111-'Provozní náklady'!G103</f>
        <v>15251324.401079074</v>
      </c>
      <c r="G46" s="675">
        <f>'Provozní náklady'!H111-'Provozní náklady'!H103</f>
        <v>15603982.904011065</v>
      </c>
      <c r="H46" s="675">
        <f>'Provozní náklady'!I111-'Provozní náklady'!I103</f>
        <v>15965423.866318533</v>
      </c>
      <c r="I46" s="675">
        <f>'Provozní náklady'!J111-'Provozní náklady'!J103</f>
        <v>16336779.03791292</v>
      </c>
      <c r="J46" s="675">
        <f>'Provozní náklady'!K111-'Provozní náklady'!K103</f>
        <v>16717123.763625752</v>
      </c>
      <c r="K46" s="675">
        <f>'Provozní náklady'!L111-'Provozní náklady'!L103</f>
        <v>17106686.245490126</v>
      </c>
      <c r="L46" s="691">
        <f>'Provozní náklady'!M111-'Provozní náklady'!M103</f>
        <v>17505700.705282621</v>
      </c>
      <c r="M46" s="727">
        <f>SUM(C46:L46)</f>
        <v>145374560.17971301</v>
      </c>
    </row>
    <row r="47" spans="1:14">
      <c r="A47" s="662" t="s">
        <v>277</v>
      </c>
      <c r="B47" s="665" t="s">
        <v>1</v>
      </c>
      <c r="C47" s="668">
        <f>'Investiční náklady_vznik'!D31</f>
        <v>13934208</v>
      </c>
      <c r="D47" s="683">
        <v>0</v>
      </c>
      <c r="E47" s="675">
        <v>0</v>
      </c>
      <c r="F47" s="675">
        <v>0</v>
      </c>
      <c r="G47" s="675">
        <v>0</v>
      </c>
      <c r="H47" s="675">
        <v>0</v>
      </c>
      <c r="I47" s="675">
        <v>0</v>
      </c>
      <c r="J47" s="675">
        <v>0</v>
      </c>
      <c r="K47" s="675">
        <v>0</v>
      </c>
      <c r="L47" s="691">
        <v>0</v>
      </c>
      <c r="M47" s="670">
        <f>SUM(C47:L47)</f>
        <v>13934208</v>
      </c>
    </row>
    <row r="48" spans="1:14" ht="15.75" thickBot="1">
      <c r="A48" s="676" t="s">
        <v>278</v>
      </c>
      <c r="B48" s="666" t="s">
        <v>1</v>
      </c>
      <c r="C48" s="669"/>
      <c r="D48" s="698"/>
      <c r="E48" s="695"/>
      <c r="F48" s="695"/>
      <c r="G48" s="695"/>
      <c r="H48" s="695"/>
      <c r="I48" s="695"/>
      <c r="J48" s="695"/>
      <c r="K48" s="695"/>
      <c r="L48" s="696">
        <v>0</v>
      </c>
      <c r="M48" s="671">
        <f>SUM(C48:L48)</f>
        <v>0</v>
      </c>
    </row>
    <row r="49" spans="1:14" ht="15.75" thickBot="1">
      <c r="A49" s="659" t="s">
        <v>293</v>
      </c>
      <c r="B49" s="655" t="s">
        <v>1</v>
      </c>
      <c r="C49" s="699">
        <f>C45-C46-C47+C48</f>
        <v>-13934208</v>
      </c>
      <c r="D49" s="656">
        <f t="shared" ref="D49" si="5">D45-D46-D47+D48</f>
        <v>277994.49904166721</v>
      </c>
      <c r="E49" s="657">
        <f t="shared" ref="E49" si="6">E45-E46-E47+E48</f>
        <v>1292179.4513820838</v>
      </c>
      <c r="F49" s="657">
        <f t="shared" ref="F49" si="7">F45-F46-F47+F48</f>
        <v>2298025.5989209265</v>
      </c>
      <c r="G49" s="657">
        <f t="shared" ref="G49" si="8">G45-G46-G47+G48</f>
        <v>3295317.0959889349</v>
      </c>
      <c r="H49" s="657">
        <f t="shared" ref="H49" si="9">H45-H46-H47+H48</f>
        <v>4283826.1336814668</v>
      </c>
      <c r="I49" s="657">
        <f t="shared" ref="I49" si="10">I45-I46-I47+I48</f>
        <v>4317455.9620870799</v>
      </c>
      <c r="J49" s="657">
        <f t="shared" ref="J49" si="11">J45-J46-J47+J48</f>
        <v>4350195.9363742471</v>
      </c>
      <c r="K49" s="657">
        <f t="shared" ref="K49" si="12">K45-K46-K47+K48</f>
        <v>4381979.8485098742</v>
      </c>
      <c r="L49" s="658">
        <f t="shared" ref="L49" si="13">L45-L46-L47+L48</f>
        <v>4412738.710597381</v>
      </c>
      <c r="M49" s="651">
        <f>SUM(C49:L49)</f>
        <v>14975505.236583661</v>
      </c>
      <c r="N49" s="737">
        <f>M45-M46-M47+M48</f>
        <v>14975505.23658365</v>
      </c>
    </row>
    <row r="51" spans="1:14" ht="18.75">
      <c r="A51" s="1673" t="s">
        <v>701</v>
      </c>
      <c r="B51" s="38"/>
      <c r="C51" s="38"/>
      <c r="D51" s="38"/>
    </row>
    <row r="52" spans="1:14" ht="15.75" thickBot="1"/>
    <row r="53" spans="1:14" ht="15.75" thickBot="1">
      <c r="A53" s="649" t="s">
        <v>62</v>
      </c>
      <c r="B53" s="24" t="s">
        <v>14</v>
      </c>
      <c r="C53" s="28">
        <v>2025</v>
      </c>
      <c r="D53" s="32">
        <v>2026</v>
      </c>
      <c r="E53" s="22">
        <v>2027</v>
      </c>
      <c r="F53" s="32">
        <v>2028</v>
      </c>
      <c r="G53" s="22">
        <v>2029</v>
      </c>
      <c r="H53" s="32">
        <v>2030</v>
      </c>
      <c r="I53" s="22">
        <v>2031</v>
      </c>
      <c r="J53" s="32">
        <v>2032</v>
      </c>
      <c r="K53" s="22">
        <v>2033</v>
      </c>
      <c r="L53" s="32">
        <v>2034</v>
      </c>
      <c r="M53" s="704" t="s">
        <v>700</v>
      </c>
      <c r="N53" s="14" t="s">
        <v>255</v>
      </c>
    </row>
    <row r="54" spans="1:14" ht="15.75" thickBot="1">
      <c r="A54" s="649" t="s">
        <v>592</v>
      </c>
      <c r="B54" s="24" t="s">
        <v>256</v>
      </c>
      <c r="C54" s="28">
        <v>1</v>
      </c>
      <c r="D54" s="32">
        <v>2</v>
      </c>
      <c r="E54" s="32">
        <v>3</v>
      </c>
      <c r="F54" s="32">
        <v>4</v>
      </c>
      <c r="G54" s="32">
        <v>5</v>
      </c>
      <c r="H54" s="32">
        <v>6</v>
      </c>
      <c r="I54" s="32">
        <v>7</v>
      </c>
      <c r="J54" s="32">
        <v>8</v>
      </c>
      <c r="K54" s="32">
        <v>9</v>
      </c>
      <c r="L54" s="32">
        <v>10</v>
      </c>
      <c r="M54" s="704"/>
      <c r="N54" s="14"/>
    </row>
    <row r="55" spans="1:14" ht="15.75" thickBot="1">
      <c r="A55" s="650" t="s">
        <v>593</v>
      </c>
      <c r="B55" s="1478" t="s">
        <v>272</v>
      </c>
      <c r="C55" s="1480">
        <v>0</v>
      </c>
      <c r="D55" s="1481">
        <v>1</v>
      </c>
      <c r="E55" s="1481">
        <v>2</v>
      </c>
      <c r="F55" s="1481">
        <v>3</v>
      </c>
      <c r="G55" s="1481">
        <v>4</v>
      </c>
      <c r="H55" s="1481">
        <v>5</v>
      </c>
      <c r="I55" s="1481">
        <v>6</v>
      </c>
      <c r="J55" s="1481">
        <v>7</v>
      </c>
      <c r="K55" s="1481">
        <v>8</v>
      </c>
      <c r="L55" s="1482">
        <v>9</v>
      </c>
      <c r="M55" s="704" t="s">
        <v>296</v>
      </c>
    </row>
    <row r="56" spans="1:14" s="796" customFormat="1" ht="15.75" customHeight="1" thickBot="1">
      <c r="A56" s="649" t="s">
        <v>594</v>
      </c>
      <c r="B56" s="24" t="s">
        <v>595</v>
      </c>
      <c r="C56" s="1479" t="s">
        <v>429</v>
      </c>
      <c r="D56" s="1598" t="s">
        <v>636</v>
      </c>
      <c r="E56" s="1598" t="s">
        <v>636</v>
      </c>
      <c r="F56" s="1598" t="s">
        <v>636</v>
      </c>
      <c r="G56" s="1598" t="s">
        <v>636</v>
      </c>
      <c r="H56" s="1598" t="s">
        <v>636</v>
      </c>
      <c r="I56" s="876" t="s">
        <v>40</v>
      </c>
      <c r="J56" s="876" t="s">
        <v>40</v>
      </c>
      <c r="K56" s="876" t="s">
        <v>40</v>
      </c>
      <c r="L56" s="877" t="s">
        <v>40</v>
      </c>
      <c r="M56" s="880" t="s">
        <v>254</v>
      </c>
      <c r="N56" s="1447"/>
    </row>
    <row r="57" spans="1:14" ht="15.75" thickBot="1">
      <c r="A57" s="649" t="s">
        <v>309</v>
      </c>
      <c r="B57" s="647" t="s">
        <v>2</v>
      </c>
      <c r="C57" s="687" t="s">
        <v>430</v>
      </c>
      <c r="D57" s="680">
        <v>12</v>
      </c>
      <c r="E57" s="681">
        <v>12</v>
      </c>
      <c r="F57" s="681">
        <v>12</v>
      </c>
      <c r="G57" s="681">
        <v>12</v>
      </c>
      <c r="H57" s="681">
        <v>12</v>
      </c>
      <c r="I57" s="681">
        <v>12</v>
      </c>
      <c r="J57" s="681">
        <v>12</v>
      </c>
      <c r="K57" s="681">
        <v>12</v>
      </c>
      <c r="L57" s="682">
        <v>12</v>
      </c>
      <c r="M57" s="653" t="s">
        <v>34</v>
      </c>
    </row>
    <row r="58" spans="1:14" ht="16.5" thickTop="1" thickBot="1">
      <c r="A58" s="1670" t="s">
        <v>275</v>
      </c>
      <c r="B58" s="1671" t="s">
        <v>1</v>
      </c>
      <c r="C58" s="1388">
        <f t="shared" ref="C58:L58" si="14">C45/(1+$B$20)^C42</f>
        <v>1408863.2064166665</v>
      </c>
      <c r="D58" s="1387">
        <f t="shared" si="14"/>
        <v>14278317.307692308</v>
      </c>
      <c r="E58" s="97">
        <f t="shared" si="14"/>
        <v>14977255.917159762</v>
      </c>
      <c r="F58" s="678">
        <f t="shared" si="14"/>
        <v>15601308.247041419</v>
      </c>
      <c r="G58" s="678">
        <f t="shared" si="14"/>
        <v>16155200.847528094</v>
      </c>
      <c r="H58" s="678">
        <f t="shared" si="14"/>
        <v>16643407.4665468</v>
      </c>
      <c r="I58" s="678">
        <f t="shared" si="14"/>
        <v>16323341.938343976</v>
      </c>
      <c r="J58" s="678">
        <f t="shared" si="14"/>
        <v>16009431.516452746</v>
      </c>
      <c r="K58" s="678">
        <f t="shared" si="14"/>
        <v>15701557.833444038</v>
      </c>
      <c r="L58" s="1672">
        <f t="shared" si="14"/>
        <v>15399604.798185499</v>
      </c>
      <c r="M58" s="1668">
        <f>SUM(C58:L58)</f>
        <v>142498289.07881132</v>
      </c>
    </row>
    <row r="59" spans="1:14" ht="15.75" thickTop="1">
      <c r="A59" s="1477" t="s">
        <v>276</v>
      </c>
      <c r="B59" s="665" t="s">
        <v>1</v>
      </c>
      <c r="C59" s="668">
        <f t="shared" ref="C59:L59" si="15">C46/(1+$B$20)^C42</f>
        <v>1408863.2064166665</v>
      </c>
      <c r="D59" s="1386">
        <f t="shared" si="15"/>
        <v>14011014.904767627</v>
      </c>
      <c r="E59" s="675">
        <f t="shared" si="15"/>
        <v>13782563.377050586</v>
      </c>
      <c r="F59" s="675">
        <f t="shared" si="15"/>
        <v>13558371.857468167</v>
      </c>
      <c r="G59" s="675">
        <f t="shared" si="15"/>
        <v>13338349.983104849</v>
      </c>
      <c r="H59" s="675">
        <f t="shared" si="15"/>
        <v>13122414.646629892</v>
      </c>
      <c r="I59" s="675">
        <f t="shared" si="15"/>
        <v>12911193.777306335</v>
      </c>
      <c r="J59" s="675">
        <f t="shared" si="15"/>
        <v>12703640.133482726</v>
      </c>
      <c r="K59" s="675">
        <f t="shared" si="15"/>
        <v>12499688.079621797</v>
      </c>
      <c r="L59" s="691">
        <f t="shared" si="15"/>
        <v>12299273.112544548</v>
      </c>
      <c r="M59" s="703">
        <f>SUM(C59:L59)</f>
        <v>119635373.07839319</v>
      </c>
    </row>
    <row r="60" spans="1:14">
      <c r="A60" s="662" t="s">
        <v>277</v>
      </c>
      <c r="B60" s="665" t="s">
        <v>1</v>
      </c>
      <c r="C60" s="668">
        <f t="shared" ref="C60:L60" si="16">C47/(1+$B$20)^C42</f>
        <v>13934208</v>
      </c>
      <c r="D60" s="683">
        <f t="shared" si="16"/>
        <v>0</v>
      </c>
      <c r="E60" s="675">
        <f t="shared" si="16"/>
        <v>0</v>
      </c>
      <c r="F60" s="675">
        <f t="shared" si="16"/>
        <v>0</v>
      </c>
      <c r="G60" s="675">
        <f t="shared" si="16"/>
        <v>0</v>
      </c>
      <c r="H60" s="675">
        <f t="shared" si="16"/>
        <v>0</v>
      </c>
      <c r="I60" s="675">
        <f t="shared" si="16"/>
        <v>0</v>
      </c>
      <c r="J60" s="675">
        <f t="shared" si="16"/>
        <v>0</v>
      </c>
      <c r="K60" s="675">
        <f t="shared" si="16"/>
        <v>0</v>
      </c>
      <c r="L60" s="691">
        <f t="shared" si="16"/>
        <v>0</v>
      </c>
      <c r="M60" s="673">
        <f>SUM(C60:L60)</f>
        <v>13934208</v>
      </c>
    </row>
    <row r="61" spans="1:14" ht="15.75" thickBot="1">
      <c r="A61" s="676" t="s">
        <v>278</v>
      </c>
      <c r="B61" s="686" t="s">
        <v>1</v>
      </c>
      <c r="C61" s="689"/>
      <c r="D61" s="111"/>
      <c r="E61" s="112"/>
      <c r="F61" s="112"/>
      <c r="G61" s="112"/>
      <c r="H61" s="112"/>
      <c r="I61" s="112"/>
      <c r="J61" s="112"/>
      <c r="K61" s="112"/>
      <c r="L61" s="692">
        <f>L48/(1+$B$20)^L42</f>
        <v>0</v>
      </c>
      <c r="M61" s="677">
        <f>SUM(C61:L61)</f>
        <v>0</v>
      </c>
    </row>
    <row r="62" spans="1:14" ht="15.75" thickBot="1">
      <c r="A62" s="659" t="s">
        <v>293</v>
      </c>
      <c r="B62" s="660" t="s">
        <v>1</v>
      </c>
      <c r="C62" s="659">
        <f>C58-C59-C60+C61</f>
        <v>-13934208</v>
      </c>
      <c r="D62" s="684">
        <f t="shared" ref="D62" si="17">D58-D59-D60+D61</f>
        <v>267302.40292468108</v>
      </c>
      <c r="E62" s="659">
        <f t="shared" ref="E62" si="18">E58-E59-E60+E61</f>
        <v>1194692.5401091762</v>
      </c>
      <c r="F62" s="659">
        <f t="shared" ref="F62" si="19">F58-F59-F60+F61</f>
        <v>2042936.3895732518</v>
      </c>
      <c r="G62" s="659">
        <f t="shared" ref="G62" si="20">G58-G59-G60+G61</f>
        <v>2816850.8644232452</v>
      </c>
      <c r="H62" s="659">
        <f t="shared" ref="H62" si="21">H58-H59-H60+H61</f>
        <v>3520992.8199169077</v>
      </c>
      <c r="I62" s="659">
        <f t="shared" ref="I62" si="22">I58-I59-I60+I61</f>
        <v>3412148.1610376406</v>
      </c>
      <c r="J62" s="659">
        <f t="shared" ref="J62" si="23">J58-J59-J60+J61</f>
        <v>3305791.3829700202</v>
      </c>
      <c r="K62" s="659">
        <f t="shared" ref="K62" si="24">K58-K59-K60+K61</f>
        <v>3201869.753822241</v>
      </c>
      <c r="L62" s="659">
        <f t="shared" ref="L62" si="25">L58-L59-L60+L61</f>
        <v>3100331.6856409516</v>
      </c>
      <c r="M62" s="684">
        <f>SUM(C62:L62)</f>
        <v>8928708.0004181154</v>
      </c>
      <c r="N62" s="737">
        <f>M58-M59-M60+M61</f>
        <v>8928708.0004181266</v>
      </c>
    </row>
    <row r="65" spans="1:14" ht="21.75" thickBot="1">
      <c r="A65" s="2046" t="s">
        <v>25</v>
      </c>
      <c r="B65" s="2047"/>
      <c r="C65" s="2047"/>
      <c r="D65" s="2047"/>
      <c r="E65" s="2047"/>
      <c r="F65" s="2047"/>
      <c r="G65" s="2047"/>
      <c r="H65" s="2047"/>
      <c r="I65" s="2047"/>
      <c r="J65" s="2047"/>
      <c r="K65" s="2047"/>
      <c r="L65" s="2047"/>
      <c r="M65" s="2048"/>
    </row>
    <row r="67" spans="1:14" ht="18.75">
      <c r="A67" s="752" t="s">
        <v>699</v>
      </c>
      <c r="B67" s="38"/>
      <c r="C67" s="38"/>
      <c r="D67" s="38"/>
    </row>
    <row r="68" spans="1:14" ht="15.75" thickBot="1"/>
    <row r="69" spans="1:14" ht="15.75" thickBot="1">
      <c r="A69" s="649" t="s">
        <v>62</v>
      </c>
      <c r="B69" s="24" t="s">
        <v>14</v>
      </c>
      <c r="C69" s="28">
        <v>2025</v>
      </c>
      <c r="D69" s="32">
        <v>2026</v>
      </c>
      <c r="E69" s="22">
        <v>2027</v>
      </c>
      <c r="F69" s="32">
        <v>2028</v>
      </c>
      <c r="G69" s="22">
        <v>2029</v>
      </c>
      <c r="H69" s="32">
        <v>2030</v>
      </c>
      <c r="I69" s="22">
        <v>2031</v>
      </c>
      <c r="J69" s="32">
        <v>2032</v>
      </c>
      <c r="K69" s="22">
        <v>2033</v>
      </c>
      <c r="L69" s="32">
        <v>2034</v>
      </c>
      <c r="M69" s="704" t="s">
        <v>700</v>
      </c>
      <c r="N69" s="14" t="s">
        <v>255</v>
      </c>
    </row>
    <row r="70" spans="1:14" ht="15.75" thickBot="1">
      <c r="A70" s="649" t="s">
        <v>592</v>
      </c>
      <c r="B70" s="24" t="s">
        <v>256</v>
      </c>
      <c r="C70" s="28">
        <v>1</v>
      </c>
      <c r="D70" s="32">
        <v>2</v>
      </c>
      <c r="E70" s="32">
        <v>3</v>
      </c>
      <c r="F70" s="32">
        <v>4</v>
      </c>
      <c r="G70" s="32">
        <v>5</v>
      </c>
      <c r="H70" s="32">
        <v>6</v>
      </c>
      <c r="I70" s="32">
        <v>7</v>
      </c>
      <c r="J70" s="32">
        <v>8</v>
      </c>
      <c r="K70" s="32">
        <v>9</v>
      </c>
      <c r="L70" s="32">
        <v>10</v>
      </c>
      <c r="M70" s="704"/>
      <c r="N70" s="14"/>
    </row>
    <row r="71" spans="1:14" ht="15.75" thickBot="1">
      <c r="A71" s="650" t="s">
        <v>593</v>
      </c>
      <c r="B71" s="647" t="s">
        <v>272</v>
      </c>
      <c r="C71" s="1474">
        <v>0</v>
      </c>
      <c r="D71" s="1475">
        <v>1</v>
      </c>
      <c r="E71" s="1475">
        <v>2</v>
      </c>
      <c r="F71" s="1475">
        <v>3</v>
      </c>
      <c r="G71" s="1475">
        <v>4</v>
      </c>
      <c r="H71" s="1475">
        <v>5</v>
      </c>
      <c r="I71" s="1475">
        <v>6</v>
      </c>
      <c r="J71" s="1475">
        <v>7</v>
      </c>
      <c r="K71" s="1475">
        <v>8</v>
      </c>
      <c r="L71" s="1476">
        <v>9</v>
      </c>
      <c r="M71" s="721" t="s">
        <v>296</v>
      </c>
    </row>
    <row r="72" spans="1:14" s="796" customFormat="1" ht="15.75" customHeight="1" thickBot="1">
      <c r="A72" s="649" t="s">
        <v>594</v>
      </c>
      <c r="B72" s="24" t="s">
        <v>595</v>
      </c>
      <c r="C72" s="872" t="s">
        <v>429</v>
      </c>
      <c r="D72" s="1598" t="s">
        <v>636</v>
      </c>
      <c r="E72" s="1598" t="s">
        <v>636</v>
      </c>
      <c r="F72" s="1598" t="s">
        <v>636</v>
      </c>
      <c r="G72" s="1598" t="s">
        <v>636</v>
      </c>
      <c r="H72" s="1598" t="s">
        <v>636</v>
      </c>
      <c r="I72" s="876" t="s">
        <v>40</v>
      </c>
      <c r="J72" s="876" t="s">
        <v>40</v>
      </c>
      <c r="K72" s="876" t="s">
        <v>40</v>
      </c>
      <c r="L72" s="877" t="s">
        <v>40</v>
      </c>
      <c r="M72" s="878" t="s">
        <v>254</v>
      </c>
      <c r="N72" s="1447"/>
    </row>
    <row r="73" spans="1:14" ht="15.75" thickBot="1">
      <c r="A73" s="649" t="s">
        <v>309</v>
      </c>
      <c r="B73" s="647" t="s">
        <v>2</v>
      </c>
      <c r="C73" s="687" t="s">
        <v>430</v>
      </c>
      <c r="D73" s="680">
        <v>12</v>
      </c>
      <c r="E73" s="681">
        <v>12</v>
      </c>
      <c r="F73" s="681">
        <v>12</v>
      </c>
      <c r="G73" s="681">
        <v>12</v>
      </c>
      <c r="H73" s="681">
        <v>12</v>
      </c>
      <c r="I73" s="681">
        <v>12</v>
      </c>
      <c r="J73" s="681">
        <v>12</v>
      </c>
      <c r="K73" s="681">
        <v>12</v>
      </c>
      <c r="L73" s="682">
        <v>12</v>
      </c>
      <c r="M73" s="652" t="s">
        <v>34</v>
      </c>
    </row>
    <row r="74" spans="1:14">
      <c r="A74" s="661" t="s">
        <v>275</v>
      </c>
      <c r="B74" s="664" t="s">
        <v>1</v>
      </c>
      <c r="C74" s="667">
        <f>C45-C14</f>
        <v>1408863.2064166665</v>
      </c>
      <c r="D74" s="463">
        <f>D45-D14</f>
        <v>14849450</v>
      </c>
      <c r="E74" s="463">
        <f t="shared" ref="E74:L74" si="26">E45-E14</f>
        <v>16199400</v>
      </c>
      <c r="F74" s="463">
        <f t="shared" si="26"/>
        <v>17549350</v>
      </c>
      <c r="G74" s="463">
        <f t="shared" si="26"/>
        <v>18899300</v>
      </c>
      <c r="H74" s="463">
        <f t="shared" si="26"/>
        <v>20249250</v>
      </c>
      <c r="I74" s="463">
        <f t="shared" si="26"/>
        <v>20654235</v>
      </c>
      <c r="J74" s="463">
        <f t="shared" si="26"/>
        <v>21067319.699999999</v>
      </c>
      <c r="K74" s="463">
        <f t="shared" si="26"/>
        <v>21488666.094000001</v>
      </c>
      <c r="L74" s="694">
        <f t="shared" si="26"/>
        <v>21918439.415880002</v>
      </c>
      <c r="M74" s="672">
        <f>SUM(C74:L74)</f>
        <v>174284273.41629666</v>
      </c>
    </row>
    <row r="75" spans="1:14">
      <c r="A75" s="662" t="s">
        <v>276</v>
      </c>
      <c r="B75" s="665" t="s">
        <v>1</v>
      </c>
      <c r="C75" s="668">
        <f>C46-C15</f>
        <v>1408863.2064166665</v>
      </c>
      <c r="D75" s="683">
        <f>D46-D15</f>
        <v>14571455.500958333</v>
      </c>
      <c r="E75" s="683">
        <f t="shared" ref="E75:L75" si="27">E46-E15</f>
        <v>14907220.548617916</v>
      </c>
      <c r="F75" s="683">
        <f t="shared" si="27"/>
        <v>15251324.401079074</v>
      </c>
      <c r="G75" s="683">
        <f t="shared" si="27"/>
        <v>15603982.904011065</v>
      </c>
      <c r="H75" s="683">
        <f t="shared" si="27"/>
        <v>15965423.866318533</v>
      </c>
      <c r="I75" s="683">
        <f t="shared" si="27"/>
        <v>16336779.03791292</v>
      </c>
      <c r="J75" s="683">
        <f t="shared" si="27"/>
        <v>16717123.763625752</v>
      </c>
      <c r="K75" s="683">
        <f t="shared" si="27"/>
        <v>17106686.245490126</v>
      </c>
      <c r="L75" s="691">
        <f t="shared" si="27"/>
        <v>17505700.705282621</v>
      </c>
      <c r="M75" s="673">
        <f>SUM(C75:L75)</f>
        <v>145374560.17971301</v>
      </c>
    </row>
    <row r="76" spans="1:14">
      <c r="A76" s="662" t="s">
        <v>277</v>
      </c>
      <c r="B76" s="665" t="s">
        <v>1</v>
      </c>
      <c r="C76" s="668">
        <f>C47-C16</f>
        <v>13934208</v>
      </c>
      <c r="D76" s="683">
        <v>0</v>
      </c>
      <c r="E76" s="675">
        <v>0</v>
      </c>
      <c r="F76" s="675">
        <v>0</v>
      </c>
      <c r="G76" s="675">
        <v>0</v>
      </c>
      <c r="H76" s="675">
        <v>0</v>
      </c>
      <c r="I76" s="675">
        <v>0</v>
      </c>
      <c r="J76" s="675">
        <v>0</v>
      </c>
      <c r="K76" s="675">
        <v>0</v>
      </c>
      <c r="L76" s="691">
        <v>0</v>
      </c>
      <c r="M76" s="673">
        <f>SUM(C76:L76)</f>
        <v>13934208</v>
      </c>
    </row>
    <row r="77" spans="1:14" ht="15.75" thickBot="1">
      <c r="A77" s="676" t="s">
        <v>278</v>
      </c>
      <c r="B77" s="666" t="s">
        <v>1</v>
      </c>
      <c r="C77" s="669"/>
      <c r="D77" s="698"/>
      <c r="E77" s="695"/>
      <c r="F77" s="695"/>
      <c r="G77" s="695"/>
      <c r="H77" s="695"/>
      <c r="I77" s="695"/>
      <c r="J77" s="695"/>
      <c r="K77" s="695"/>
      <c r="L77" s="696">
        <v>0</v>
      </c>
      <c r="M77" s="674">
        <f>SUM(C77:L77)</f>
        <v>0</v>
      </c>
    </row>
    <row r="78" spans="1:14" s="89" customFormat="1" ht="15.75" thickBot="1">
      <c r="A78" s="659" t="s">
        <v>293</v>
      </c>
      <c r="B78" s="655" t="s">
        <v>1</v>
      </c>
      <c r="C78" s="699">
        <f>C74-C75-C76+C77</f>
        <v>-13934208</v>
      </c>
      <c r="D78" s="656">
        <f t="shared" ref="D78" si="28">D74-D75-D76+D77</f>
        <v>277994.49904166721</v>
      </c>
      <c r="E78" s="657">
        <f t="shared" ref="E78" si="29">E74-E75-E76+E77</f>
        <v>1292179.4513820838</v>
      </c>
      <c r="F78" s="657">
        <f t="shared" ref="F78" si="30">F74-F75-F76+F77</f>
        <v>2298025.5989209265</v>
      </c>
      <c r="G78" s="657">
        <f t="shared" ref="G78" si="31">G74-G75-G76+G77</f>
        <v>3295317.0959889349</v>
      </c>
      <c r="H78" s="657">
        <f t="shared" ref="H78" si="32">H74-H75-H76+H77</f>
        <v>4283826.1336814668</v>
      </c>
      <c r="I78" s="657">
        <f t="shared" ref="I78" si="33">I74-I75-I76+I77</f>
        <v>4317455.9620870799</v>
      </c>
      <c r="J78" s="657">
        <f t="shared" ref="J78" si="34">J74-J75-J76+J77</f>
        <v>4350195.9363742471</v>
      </c>
      <c r="K78" s="657">
        <f t="shared" ref="K78" si="35">K74-K75-K76+K77</f>
        <v>4381979.8485098742</v>
      </c>
      <c r="L78" s="658">
        <f t="shared" ref="L78" si="36">L74-L75-L76+L77</f>
        <v>4412738.710597381</v>
      </c>
      <c r="M78" s="651">
        <f>SUM(C78:L78)</f>
        <v>14975505.236583661</v>
      </c>
      <c r="N78" s="737">
        <f>M74-M75-M76+M77</f>
        <v>14975505.23658365</v>
      </c>
    </row>
    <row r="80" spans="1:14" ht="18.75">
      <c r="A80" s="752" t="s">
        <v>701</v>
      </c>
      <c r="B80" s="38"/>
      <c r="C80" s="38"/>
      <c r="D80" s="38"/>
    </row>
    <row r="82" spans="1:14" ht="15.75" thickBot="1">
      <c r="A82" s="649" t="s">
        <v>62</v>
      </c>
      <c r="B82" s="24" t="s">
        <v>14</v>
      </c>
      <c r="C82" s="28">
        <v>2025</v>
      </c>
      <c r="D82" s="32">
        <v>2026</v>
      </c>
      <c r="E82" s="22">
        <v>2027</v>
      </c>
      <c r="F82" s="32">
        <v>2028</v>
      </c>
      <c r="G82" s="22">
        <v>2029</v>
      </c>
      <c r="H82" s="32">
        <v>2030</v>
      </c>
      <c r="I82" s="22">
        <v>2031</v>
      </c>
      <c r="J82" s="32">
        <v>2032</v>
      </c>
      <c r="K82" s="22">
        <v>2033</v>
      </c>
      <c r="L82" s="32">
        <v>2034</v>
      </c>
      <c r="M82" s="704" t="s">
        <v>700</v>
      </c>
      <c r="N82" s="14" t="s">
        <v>255</v>
      </c>
    </row>
    <row r="83" spans="1:14" ht="15.75" thickBot="1">
      <c r="A83" s="649" t="s">
        <v>592</v>
      </c>
      <c r="B83" s="24" t="s">
        <v>256</v>
      </c>
      <c r="C83" s="28">
        <v>1</v>
      </c>
      <c r="D83" s="32">
        <v>2</v>
      </c>
      <c r="E83" s="32">
        <v>3</v>
      </c>
      <c r="F83" s="32">
        <v>4</v>
      </c>
      <c r="G83" s="32">
        <v>5</v>
      </c>
      <c r="H83" s="32">
        <v>6</v>
      </c>
      <c r="I83" s="32">
        <v>7</v>
      </c>
      <c r="J83" s="32">
        <v>8</v>
      </c>
      <c r="K83" s="32">
        <v>9</v>
      </c>
      <c r="L83" s="32">
        <v>10</v>
      </c>
      <c r="M83" s="704"/>
      <c r="N83" s="14"/>
    </row>
    <row r="84" spans="1:14" ht="15.75" thickBot="1">
      <c r="A84" s="650" t="s">
        <v>593</v>
      </c>
      <c r="B84" s="647" t="s">
        <v>272</v>
      </c>
      <c r="C84" s="1474">
        <v>0</v>
      </c>
      <c r="D84" s="1475">
        <v>1</v>
      </c>
      <c r="E84" s="1475">
        <v>2</v>
      </c>
      <c r="F84" s="1475">
        <v>3</v>
      </c>
      <c r="G84" s="1475">
        <v>4</v>
      </c>
      <c r="H84" s="1475">
        <v>5</v>
      </c>
      <c r="I84" s="1475">
        <v>6</v>
      </c>
      <c r="J84" s="1475">
        <v>7</v>
      </c>
      <c r="K84" s="1475">
        <v>8</v>
      </c>
      <c r="L84" s="1476">
        <v>9</v>
      </c>
      <c r="M84" s="721" t="s">
        <v>296</v>
      </c>
    </row>
    <row r="85" spans="1:14" s="796" customFormat="1" ht="15.75" customHeight="1" thickBot="1">
      <c r="A85" s="649" t="s">
        <v>594</v>
      </c>
      <c r="B85" s="24" t="s">
        <v>595</v>
      </c>
      <c r="C85" s="872" t="s">
        <v>429</v>
      </c>
      <c r="D85" s="1598" t="s">
        <v>636</v>
      </c>
      <c r="E85" s="1598" t="s">
        <v>636</v>
      </c>
      <c r="F85" s="1598" t="s">
        <v>636</v>
      </c>
      <c r="G85" s="1598" t="s">
        <v>636</v>
      </c>
      <c r="H85" s="1598" t="s">
        <v>636</v>
      </c>
      <c r="I85" s="876" t="s">
        <v>40</v>
      </c>
      <c r="J85" s="876" t="s">
        <v>40</v>
      </c>
      <c r="K85" s="876" t="s">
        <v>40</v>
      </c>
      <c r="L85" s="877" t="s">
        <v>40</v>
      </c>
      <c r="M85" s="878" t="s">
        <v>254</v>
      </c>
      <c r="N85" s="1447"/>
    </row>
    <row r="86" spans="1:14" ht="15.75" thickBot="1">
      <c r="A86" s="649" t="s">
        <v>309</v>
      </c>
      <c r="B86" s="647" t="s">
        <v>2</v>
      </c>
      <c r="C86" s="687" t="s">
        <v>430</v>
      </c>
      <c r="D86" s="680">
        <v>12</v>
      </c>
      <c r="E86" s="681">
        <v>12</v>
      </c>
      <c r="F86" s="681">
        <v>12</v>
      </c>
      <c r="G86" s="681">
        <v>12</v>
      </c>
      <c r="H86" s="681">
        <v>12</v>
      </c>
      <c r="I86" s="681">
        <v>12</v>
      </c>
      <c r="J86" s="681">
        <v>12</v>
      </c>
      <c r="K86" s="681">
        <v>12</v>
      </c>
      <c r="L86" s="682">
        <v>12</v>
      </c>
      <c r="M86" s="652" t="s">
        <v>34</v>
      </c>
    </row>
    <row r="87" spans="1:14">
      <c r="A87" s="661" t="s">
        <v>275</v>
      </c>
      <c r="B87" s="685" t="s">
        <v>1</v>
      </c>
      <c r="C87" s="688">
        <f t="shared" ref="C87:L87" si="37">C74/(1+$B$20)^C71</f>
        <v>1408863.2064166665</v>
      </c>
      <c r="D87" s="97">
        <f t="shared" si="37"/>
        <v>14278317.307692308</v>
      </c>
      <c r="E87" s="678">
        <f t="shared" si="37"/>
        <v>14977255.917159762</v>
      </c>
      <c r="F87" s="678">
        <f t="shared" si="37"/>
        <v>15601308.247041419</v>
      </c>
      <c r="G87" s="678">
        <f t="shared" si="37"/>
        <v>16155200.847528094</v>
      </c>
      <c r="H87" s="678">
        <f t="shared" si="37"/>
        <v>16643407.4665468</v>
      </c>
      <c r="I87" s="678">
        <f t="shared" si="37"/>
        <v>16323341.938343976</v>
      </c>
      <c r="J87" s="678">
        <f t="shared" si="37"/>
        <v>16009431.516452746</v>
      </c>
      <c r="K87" s="678">
        <f t="shared" si="37"/>
        <v>15701557.833444038</v>
      </c>
      <c r="L87" s="690">
        <f t="shared" si="37"/>
        <v>15399604.798185499</v>
      </c>
      <c r="M87" s="672">
        <f>SUM(C87:L87)</f>
        <v>142498289.07881132</v>
      </c>
    </row>
    <row r="88" spans="1:14">
      <c r="A88" s="662" t="s">
        <v>276</v>
      </c>
      <c r="B88" s="665" t="s">
        <v>1</v>
      </c>
      <c r="C88" s="668">
        <f t="shared" ref="C88:L88" si="38">C75/(1+$B$20)^C71</f>
        <v>1408863.2064166665</v>
      </c>
      <c r="D88" s="683">
        <f t="shared" si="38"/>
        <v>14011014.904767627</v>
      </c>
      <c r="E88" s="675">
        <f t="shared" si="38"/>
        <v>13782563.377050586</v>
      </c>
      <c r="F88" s="675">
        <f t="shared" si="38"/>
        <v>13558371.857468167</v>
      </c>
      <c r="G88" s="675">
        <f t="shared" si="38"/>
        <v>13338349.983104849</v>
      </c>
      <c r="H88" s="675">
        <f t="shared" si="38"/>
        <v>13122414.646629892</v>
      </c>
      <c r="I88" s="675">
        <f t="shared" si="38"/>
        <v>12911193.777306335</v>
      </c>
      <c r="J88" s="675">
        <f t="shared" si="38"/>
        <v>12703640.133482726</v>
      </c>
      <c r="K88" s="675">
        <f t="shared" si="38"/>
        <v>12499688.079621797</v>
      </c>
      <c r="L88" s="691">
        <f t="shared" si="38"/>
        <v>12299273.112544548</v>
      </c>
      <c r="M88" s="673">
        <f>SUM(C88:L88)</f>
        <v>119635373.07839319</v>
      </c>
    </row>
    <row r="89" spans="1:14">
      <c r="A89" s="662" t="s">
        <v>277</v>
      </c>
      <c r="B89" s="665" t="s">
        <v>1</v>
      </c>
      <c r="C89" s="668">
        <f t="shared" ref="C89:L89" si="39">C76/(1+$B$20)^C71</f>
        <v>13934208</v>
      </c>
      <c r="D89" s="683">
        <f t="shared" si="39"/>
        <v>0</v>
      </c>
      <c r="E89" s="675">
        <f t="shared" si="39"/>
        <v>0</v>
      </c>
      <c r="F89" s="675">
        <f t="shared" si="39"/>
        <v>0</v>
      </c>
      <c r="G89" s="675">
        <f t="shared" si="39"/>
        <v>0</v>
      </c>
      <c r="H89" s="675">
        <f t="shared" si="39"/>
        <v>0</v>
      </c>
      <c r="I89" s="675">
        <f t="shared" si="39"/>
        <v>0</v>
      </c>
      <c r="J89" s="675">
        <f t="shared" si="39"/>
        <v>0</v>
      </c>
      <c r="K89" s="675">
        <f t="shared" si="39"/>
        <v>0</v>
      </c>
      <c r="L89" s="691">
        <f t="shared" si="39"/>
        <v>0</v>
      </c>
      <c r="M89" s="673">
        <f>SUM(C89:L89)</f>
        <v>13934208</v>
      </c>
    </row>
    <row r="90" spans="1:14" ht="15.75" thickBot="1">
      <c r="A90" s="676" t="s">
        <v>278</v>
      </c>
      <c r="B90" s="686" t="s">
        <v>1</v>
      </c>
      <c r="C90" s="689"/>
      <c r="D90" s="111"/>
      <c r="E90" s="112"/>
      <c r="F90" s="112"/>
      <c r="G90" s="112"/>
      <c r="H90" s="112"/>
      <c r="I90" s="112"/>
      <c r="J90" s="112"/>
      <c r="K90" s="112"/>
      <c r="L90" s="692">
        <f>L77/(1+$B$20)^L71</f>
        <v>0</v>
      </c>
      <c r="M90" s="677">
        <f>SUM(C90:L90)</f>
        <v>0</v>
      </c>
    </row>
    <row r="91" spans="1:14" ht="15.75" thickBot="1">
      <c r="A91" s="659" t="s">
        <v>293</v>
      </c>
      <c r="B91" s="660" t="s">
        <v>1</v>
      </c>
      <c r="C91" s="659">
        <f>C87-C88-C89+C90</f>
        <v>-13934208</v>
      </c>
      <c r="D91" s="684">
        <f t="shared" ref="D91" si="40">D87-D88-D89+D90</f>
        <v>267302.40292468108</v>
      </c>
      <c r="E91" s="659">
        <f t="shared" ref="E91" si="41">E87-E88-E89+E90</f>
        <v>1194692.5401091762</v>
      </c>
      <c r="F91" s="659">
        <f t="shared" ref="F91" si="42">F87-F88-F89+F90</f>
        <v>2042936.3895732518</v>
      </c>
      <c r="G91" s="659">
        <f t="shared" ref="G91" si="43">G87-G88-G89+G90</f>
        <v>2816850.8644232452</v>
      </c>
      <c r="H91" s="659">
        <f t="shared" ref="H91" si="44">H87-H88-H89+H90</f>
        <v>3520992.8199169077</v>
      </c>
      <c r="I91" s="659">
        <f t="shared" ref="I91" si="45">I87-I88-I89+I90</f>
        <v>3412148.1610376406</v>
      </c>
      <c r="J91" s="659">
        <f t="shared" ref="J91" si="46">J87-J88-J89+J90</f>
        <v>3305791.3829700202</v>
      </c>
      <c r="K91" s="659">
        <f t="shared" ref="K91" si="47">K87-K88-K89+K90</f>
        <v>3201869.753822241</v>
      </c>
      <c r="L91" s="659">
        <f t="shared" ref="L91" si="48">L87-L88-L89+L90</f>
        <v>3100331.6856409516</v>
      </c>
      <c r="M91" s="684">
        <f>SUM(C91:L91)</f>
        <v>8928708.0004181154</v>
      </c>
      <c r="N91" s="737">
        <f>M87-M88-M89+M90</f>
        <v>8928708.0004181266</v>
      </c>
    </row>
    <row r="94" spans="1:14" ht="15.75" thickBot="1"/>
    <row r="95" spans="1:14" ht="21.75" thickBot="1">
      <c r="A95" s="2049" t="s">
        <v>564</v>
      </c>
      <c r="B95" s="2050"/>
      <c r="C95" s="2050"/>
      <c r="D95" s="2050"/>
      <c r="E95" s="2050"/>
      <c r="F95" s="2050"/>
      <c r="G95" s="2050"/>
      <c r="H95" s="2050"/>
      <c r="I95" s="2050"/>
      <c r="J95" s="2050"/>
      <c r="K95" s="2050"/>
      <c r="L95" s="2050"/>
      <c r="M95" s="2051"/>
    </row>
    <row r="98" spans="1:14" ht="21.75" thickBot="1">
      <c r="A98" s="2043" t="s">
        <v>124</v>
      </c>
      <c r="B98" s="2044"/>
      <c r="C98" s="2044"/>
      <c r="D98" s="2044"/>
      <c r="E98" s="2044"/>
      <c r="F98" s="2044"/>
      <c r="G98" s="2044"/>
      <c r="H98" s="2044"/>
      <c r="I98" s="2044"/>
      <c r="J98" s="2044"/>
      <c r="K98" s="2044"/>
      <c r="L98" s="2044"/>
      <c r="M98" s="2045"/>
    </row>
    <row r="100" spans="1:14" ht="18.75">
      <c r="A100" s="752" t="s">
        <v>699</v>
      </c>
      <c r="B100" s="38"/>
      <c r="C100" s="38"/>
      <c r="D100" s="38"/>
    </row>
    <row r="101" spans="1:14" ht="15.75" thickBot="1"/>
    <row r="102" spans="1:14" s="8" customFormat="1" ht="15.75" thickBot="1">
      <c r="A102" s="649" t="s">
        <v>62</v>
      </c>
      <c r="B102" s="24" t="s">
        <v>14</v>
      </c>
      <c r="C102" s="28">
        <v>2025</v>
      </c>
      <c r="D102" s="32">
        <v>2026</v>
      </c>
      <c r="E102" s="22">
        <v>2027</v>
      </c>
      <c r="F102" s="32">
        <v>2028</v>
      </c>
      <c r="G102" s="22">
        <v>2029</v>
      </c>
      <c r="H102" s="32">
        <v>2030</v>
      </c>
      <c r="I102" s="22">
        <v>2031</v>
      </c>
      <c r="J102" s="32">
        <v>2032</v>
      </c>
      <c r="K102" s="22">
        <v>2033</v>
      </c>
      <c r="L102" s="32">
        <v>2034</v>
      </c>
      <c r="M102" s="704" t="s">
        <v>700</v>
      </c>
      <c r="N102" s="14" t="s">
        <v>255</v>
      </c>
    </row>
    <row r="103" spans="1:14" s="8" customFormat="1" ht="15.75" thickBot="1">
      <c r="A103" s="649" t="s">
        <v>592</v>
      </c>
      <c r="B103" s="24" t="s">
        <v>256</v>
      </c>
      <c r="C103" s="28">
        <v>1</v>
      </c>
      <c r="D103" s="32">
        <v>2</v>
      </c>
      <c r="E103" s="32">
        <v>3</v>
      </c>
      <c r="F103" s="32">
        <v>4</v>
      </c>
      <c r="G103" s="32">
        <v>5</v>
      </c>
      <c r="H103" s="32">
        <v>6</v>
      </c>
      <c r="I103" s="32">
        <v>7</v>
      </c>
      <c r="J103" s="32">
        <v>8</v>
      </c>
      <c r="K103" s="32">
        <v>9</v>
      </c>
      <c r="L103" s="32">
        <v>10</v>
      </c>
      <c r="M103" s="704"/>
      <c r="N103" s="14"/>
    </row>
    <row r="104" spans="1:14" s="8" customFormat="1" ht="15.75" thickBot="1">
      <c r="A104" s="650" t="s">
        <v>593</v>
      </c>
      <c r="B104" s="647" t="s">
        <v>272</v>
      </c>
      <c r="C104" s="1474">
        <v>0</v>
      </c>
      <c r="D104" s="1475">
        <v>1</v>
      </c>
      <c r="E104" s="1475">
        <v>2</v>
      </c>
      <c r="F104" s="1475">
        <v>3</v>
      </c>
      <c r="G104" s="1475">
        <v>4</v>
      </c>
      <c r="H104" s="1475">
        <v>5</v>
      </c>
      <c r="I104" s="1475">
        <v>6</v>
      </c>
      <c r="J104" s="1475">
        <v>7</v>
      </c>
      <c r="K104" s="1475">
        <v>8</v>
      </c>
      <c r="L104" s="1476">
        <v>9</v>
      </c>
      <c r="M104" s="721" t="s">
        <v>296</v>
      </c>
      <c r="N104" s="1"/>
    </row>
    <row r="105" spans="1:14" s="879" customFormat="1" ht="15.75" customHeight="1" thickBot="1">
      <c r="A105" s="649" t="s">
        <v>594</v>
      </c>
      <c r="B105" s="24" t="s">
        <v>595</v>
      </c>
      <c r="C105" s="872" t="s">
        <v>429</v>
      </c>
      <c r="D105" s="1598" t="s">
        <v>636</v>
      </c>
      <c r="E105" s="1598" t="s">
        <v>636</v>
      </c>
      <c r="F105" s="1598" t="s">
        <v>636</v>
      </c>
      <c r="G105" s="1598" t="s">
        <v>636</v>
      </c>
      <c r="H105" s="1598" t="s">
        <v>636</v>
      </c>
      <c r="I105" s="876" t="s">
        <v>40</v>
      </c>
      <c r="J105" s="876" t="s">
        <v>40</v>
      </c>
      <c r="K105" s="876" t="s">
        <v>40</v>
      </c>
      <c r="L105" s="877" t="s">
        <v>40</v>
      </c>
      <c r="M105" s="878" t="s">
        <v>254</v>
      </c>
      <c r="N105" s="1447"/>
    </row>
    <row r="106" spans="1:14" s="8" customFormat="1" ht="15.75" thickBot="1">
      <c r="A106" s="650" t="s">
        <v>309</v>
      </c>
      <c r="B106" s="647" t="s">
        <v>2</v>
      </c>
      <c r="C106" s="687" t="s">
        <v>430</v>
      </c>
      <c r="D106" s="680">
        <v>12</v>
      </c>
      <c r="E106" s="681">
        <v>12</v>
      </c>
      <c r="F106" s="681">
        <v>12</v>
      </c>
      <c r="G106" s="681">
        <v>12</v>
      </c>
      <c r="H106" s="681">
        <v>12</v>
      </c>
      <c r="I106" s="681">
        <v>12</v>
      </c>
      <c r="J106" s="681">
        <v>12</v>
      </c>
      <c r="K106" s="681">
        <v>12</v>
      </c>
      <c r="L106" s="682">
        <v>12</v>
      </c>
      <c r="M106" s="726" t="s">
        <v>34</v>
      </c>
      <c r="N106" s="1"/>
    </row>
    <row r="107" spans="1:14" s="8" customFormat="1">
      <c r="A107" s="1477" t="s">
        <v>279</v>
      </c>
      <c r="B107" s="665" t="s">
        <v>1</v>
      </c>
      <c r="C107" s="668">
        <f>'Provozní náklady'!D47</f>
        <v>0</v>
      </c>
      <c r="D107" s="683">
        <f>'Provozní náklady'!E47</f>
        <v>0</v>
      </c>
      <c r="E107" s="683">
        <f>'Provozní náklady'!F47</f>
        <v>0</v>
      </c>
      <c r="F107" s="683">
        <f>'Provozní náklady'!G47</f>
        <v>0</v>
      </c>
      <c r="G107" s="683">
        <f>'Provozní náklady'!H47</f>
        <v>0</v>
      </c>
      <c r="H107" s="683">
        <f>'Provozní náklady'!I47</f>
        <v>0</v>
      </c>
      <c r="I107" s="683">
        <f>'Provozní náklady'!J47</f>
        <v>0</v>
      </c>
      <c r="J107" s="683">
        <f>'Provozní náklady'!K47</f>
        <v>0</v>
      </c>
      <c r="K107" s="683">
        <f>'Provozní náklady'!L47</f>
        <v>0</v>
      </c>
      <c r="L107" s="702">
        <f>'Provozní náklady'!M47</f>
        <v>0</v>
      </c>
      <c r="M107" s="703">
        <f>SUM(C107:L107)</f>
        <v>0</v>
      </c>
      <c r="N107" s="1"/>
    </row>
    <row r="108" spans="1:14" ht="15.75" thickBot="1">
      <c r="A108" s="662" t="s">
        <v>280</v>
      </c>
      <c r="B108" s="665" t="s">
        <v>1</v>
      </c>
      <c r="C108" s="668">
        <f>'Provozní náklady'!D49</f>
        <v>0</v>
      </c>
      <c r="D108" s="683">
        <f>'Provozní náklady'!E49</f>
        <v>0</v>
      </c>
      <c r="E108" s="683">
        <f>'Provozní náklady'!F49</f>
        <v>0</v>
      </c>
      <c r="F108" s="683">
        <f>'Provozní náklady'!G49</f>
        <v>0</v>
      </c>
      <c r="G108" s="683">
        <f>'Provozní náklady'!H49</f>
        <v>0</v>
      </c>
      <c r="H108" s="683">
        <f>'Provozní náklady'!I49</f>
        <v>0</v>
      </c>
      <c r="I108" s="683">
        <f>'Provozní náklady'!J49</f>
        <v>0</v>
      </c>
      <c r="J108" s="683">
        <f>'Provozní náklady'!K49</f>
        <v>0</v>
      </c>
      <c r="K108" s="683">
        <f>'Provozní náklady'!L49</f>
        <v>0</v>
      </c>
      <c r="L108" s="702">
        <f>'Provozní náklady'!M49</f>
        <v>0</v>
      </c>
      <c r="M108" s="673">
        <f>SUM(C108:L108)</f>
        <v>0</v>
      </c>
    </row>
    <row r="109" spans="1:14" ht="15.75" thickBot="1">
      <c r="A109" s="659" t="s">
        <v>293</v>
      </c>
      <c r="B109" s="660" t="s">
        <v>1</v>
      </c>
      <c r="C109" s="659">
        <f>-C107-C108</f>
        <v>0</v>
      </c>
      <c r="D109" s="659">
        <f t="shared" ref="D109:L109" si="49">-D107-D108</f>
        <v>0</v>
      </c>
      <c r="E109" s="659">
        <f t="shared" si="49"/>
        <v>0</v>
      </c>
      <c r="F109" s="659">
        <f t="shared" si="49"/>
        <v>0</v>
      </c>
      <c r="G109" s="659">
        <f t="shared" si="49"/>
        <v>0</v>
      </c>
      <c r="H109" s="659">
        <f t="shared" si="49"/>
        <v>0</v>
      </c>
      <c r="I109" s="659">
        <f t="shared" si="49"/>
        <v>0</v>
      </c>
      <c r="J109" s="659">
        <f t="shared" si="49"/>
        <v>0</v>
      </c>
      <c r="K109" s="659">
        <f t="shared" si="49"/>
        <v>0</v>
      </c>
      <c r="L109" s="659">
        <f t="shared" si="49"/>
        <v>0</v>
      </c>
      <c r="M109" s="684">
        <f>SUM(C109:L109)</f>
        <v>0</v>
      </c>
      <c r="N109" s="737">
        <f>-M107-M108</f>
        <v>0</v>
      </c>
    </row>
    <row r="110" spans="1:14" ht="15.75" thickBot="1"/>
    <row r="111" spans="1:14" ht="19.5" thickBot="1">
      <c r="A111" s="1389" t="s">
        <v>551</v>
      </c>
      <c r="B111" s="1446">
        <v>0.04</v>
      </c>
    </row>
    <row r="113" spans="1:14" s="8" customFormat="1" ht="18.75">
      <c r="A113" s="752" t="s">
        <v>701</v>
      </c>
      <c r="B113" s="38"/>
      <c r="C113" s="38"/>
      <c r="D113" s="38"/>
      <c r="E113"/>
      <c r="F113"/>
      <c r="G113"/>
      <c r="H113"/>
      <c r="I113"/>
      <c r="J113"/>
      <c r="K113"/>
      <c r="L113"/>
      <c r="M113"/>
      <c r="N113" s="1"/>
    </row>
    <row r="114" spans="1:14" ht="15.75" thickBot="1"/>
    <row r="115" spans="1:14" ht="15.75" thickBot="1">
      <c r="A115" s="649" t="s">
        <v>62</v>
      </c>
      <c r="B115" s="24" t="s">
        <v>14</v>
      </c>
      <c r="C115" s="28">
        <v>2025</v>
      </c>
      <c r="D115" s="32">
        <v>2026</v>
      </c>
      <c r="E115" s="22">
        <v>2027</v>
      </c>
      <c r="F115" s="32">
        <v>2028</v>
      </c>
      <c r="G115" s="22">
        <v>2029</v>
      </c>
      <c r="H115" s="32">
        <v>2030</v>
      </c>
      <c r="I115" s="22">
        <v>2031</v>
      </c>
      <c r="J115" s="32">
        <v>2032</v>
      </c>
      <c r="K115" s="22">
        <v>2033</v>
      </c>
      <c r="L115" s="32">
        <v>2034</v>
      </c>
      <c r="M115" s="704" t="s">
        <v>700</v>
      </c>
      <c r="N115" s="14" t="s">
        <v>255</v>
      </c>
    </row>
    <row r="116" spans="1:14" ht="15.75" thickBot="1">
      <c r="A116" s="649" t="s">
        <v>592</v>
      </c>
      <c r="B116" s="24" t="s">
        <v>256</v>
      </c>
      <c r="C116" s="28">
        <v>1</v>
      </c>
      <c r="D116" s="32">
        <v>2</v>
      </c>
      <c r="E116" s="32">
        <v>3</v>
      </c>
      <c r="F116" s="32">
        <v>4</v>
      </c>
      <c r="G116" s="32">
        <v>5</v>
      </c>
      <c r="H116" s="32">
        <v>6</v>
      </c>
      <c r="I116" s="32">
        <v>7</v>
      </c>
      <c r="J116" s="32">
        <v>8</v>
      </c>
      <c r="K116" s="32">
        <v>9</v>
      </c>
      <c r="L116" s="32">
        <v>10</v>
      </c>
      <c r="M116" s="704"/>
      <c r="N116" s="14"/>
    </row>
    <row r="117" spans="1:14" ht="15.75" thickBot="1">
      <c r="A117" s="650" t="s">
        <v>593</v>
      </c>
      <c r="B117" s="647" t="s">
        <v>272</v>
      </c>
      <c r="C117" s="1474">
        <v>0</v>
      </c>
      <c r="D117" s="1475">
        <v>1</v>
      </c>
      <c r="E117" s="1475">
        <v>2</v>
      </c>
      <c r="F117" s="1475">
        <v>3</v>
      </c>
      <c r="G117" s="1475">
        <v>4</v>
      </c>
      <c r="H117" s="1475">
        <v>5</v>
      </c>
      <c r="I117" s="1475">
        <v>6</v>
      </c>
      <c r="J117" s="1475">
        <v>7</v>
      </c>
      <c r="K117" s="1475">
        <v>8</v>
      </c>
      <c r="L117" s="1476">
        <v>9</v>
      </c>
      <c r="M117" s="721" t="s">
        <v>296</v>
      </c>
    </row>
    <row r="118" spans="1:14" s="796" customFormat="1" ht="15.75" customHeight="1" thickBot="1">
      <c r="A118" s="649" t="s">
        <v>594</v>
      </c>
      <c r="B118" s="24" t="s">
        <v>595</v>
      </c>
      <c r="C118" s="872" t="s">
        <v>429</v>
      </c>
      <c r="D118" s="1598" t="s">
        <v>636</v>
      </c>
      <c r="E118" s="1598" t="s">
        <v>636</v>
      </c>
      <c r="F118" s="1598" t="s">
        <v>636</v>
      </c>
      <c r="G118" s="1598" t="s">
        <v>636</v>
      </c>
      <c r="H118" s="1598" t="s">
        <v>636</v>
      </c>
      <c r="I118" s="876" t="s">
        <v>40</v>
      </c>
      <c r="J118" s="876" t="s">
        <v>40</v>
      </c>
      <c r="K118" s="876" t="s">
        <v>40</v>
      </c>
      <c r="L118" s="877" t="s">
        <v>40</v>
      </c>
      <c r="M118" s="878" t="s">
        <v>254</v>
      </c>
      <c r="N118" s="1447"/>
    </row>
    <row r="119" spans="1:14" ht="15.75" thickBot="1">
      <c r="A119" s="650" t="s">
        <v>309</v>
      </c>
      <c r="B119" s="647" t="s">
        <v>2</v>
      </c>
      <c r="C119" s="687" t="s">
        <v>430</v>
      </c>
      <c r="D119" s="680">
        <v>12</v>
      </c>
      <c r="E119" s="681">
        <v>12</v>
      </c>
      <c r="F119" s="681">
        <v>12</v>
      </c>
      <c r="G119" s="681">
        <v>12</v>
      </c>
      <c r="H119" s="681">
        <v>12</v>
      </c>
      <c r="I119" s="681">
        <v>12</v>
      </c>
      <c r="J119" s="681">
        <v>12</v>
      </c>
      <c r="K119" s="681">
        <v>12</v>
      </c>
      <c r="L119" s="682">
        <v>12</v>
      </c>
      <c r="M119" s="705" t="s">
        <v>34</v>
      </c>
    </row>
    <row r="120" spans="1:14">
      <c r="A120" s="662" t="s">
        <v>279</v>
      </c>
      <c r="B120" s="665" t="s">
        <v>1</v>
      </c>
      <c r="C120" s="668">
        <f t="shared" ref="C120:L120" si="50">C107/(1+$B$20)^C104</f>
        <v>0</v>
      </c>
      <c r="D120" s="683">
        <f t="shared" si="50"/>
        <v>0</v>
      </c>
      <c r="E120" s="675">
        <f t="shared" si="50"/>
        <v>0</v>
      </c>
      <c r="F120" s="675">
        <f t="shared" si="50"/>
        <v>0</v>
      </c>
      <c r="G120" s="675">
        <f t="shared" si="50"/>
        <v>0</v>
      </c>
      <c r="H120" s="675">
        <f t="shared" si="50"/>
        <v>0</v>
      </c>
      <c r="I120" s="675">
        <f t="shared" si="50"/>
        <v>0</v>
      </c>
      <c r="J120" s="675">
        <f t="shared" si="50"/>
        <v>0</v>
      </c>
      <c r="K120" s="675">
        <f t="shared" si="50"/>
        <v>0</v>
      </c>
      <c r="L120" s="691">
        <f t="shared" si="50"/>
        <v>0</v>
      </c>
      <c r="M120" s="703">
        <f>SUM(C120:L120)</f>
        <v>0</v>
      </c>
    </row>
    <row r="121" spans="1:14" ht="15.75" thickBot="1">
      <c r="A121" s="662" t="s">
        <v>280</v>
      </c>
      <c r="B121" s="665" t="s">
        <v>1</v>
      </c>
      <c r="C121" s="668">
        <f t="shared" ref="C121:L121" si="51">C108/(1+$B$20)^C104</f>
        <v>0</v>
      </c>
      <c r="D121" s="683">
        <f t="shared" si="51"/>
        <v>0</v>
      </c>
      <c r="E121" s="675">
        <f t="shared" si="51"/>
        <v>0</v>
      </c>
      <c r="F121" s="675">
        <f t="shared" si="51"/>
        <v>0</v>
      </c>
      <c r="G121" s="675">
        <f t="shared" si="51"/>
        <v>0</v>
      </c>
      <c r="H121" s="675">
        <f t="shared" si="51"/>
        <v>0</v>
      </c>
      <c r="I121" s="675">
        <f t="shared" si="51"/>
        <v>0</v>
      </c>
      <c r="J121" s="675">
        <f t="shared" si="51"/>
        <v>0</v>
      </c>
      <c r="K121" s="675">
        <f t="shared" si="51"/>
        <v>0</v>
      </c>
      <c r="L121" s="691">
        <f t="shared" si="51"/>
        <v>0</v>
      </c>
      <c r="M121" s="673">
        <f>SUM(C121:L121)</f>
        <v>0</v>
      </c>
    </row>
    <row r="122" spans="1:14" ht="15.75" thickBot="1">
      <c r="A122" s="659" t="s">
        <v>293</v>
      </c>
      <c r="B122" s="660" t="s">
        <v>1</v>
      </c>
      <c r="C122" s="659">
        <f>-C120-C121</f>
        <v>0</v>
      </c>
      <c r="D122" s="659">
        <f t="shared" ref="D122:L122" si="52">-D120-D121</f>
        <v>0</v>
      </c>
      <c r="E122" s="659">
        <f t="shared" si="52"/>
        <v>0</v>
      </c>
      <c r="F122" s="659">
        <f t="shared" si="52"/>
        <v>0</v>
      </c>
      <c r="G122" s="659">
        <f t="shared" si="52"/>
        <v>0</v>
      </c>
      <c r="H122" s="659">
        <f t="shared" si="52"/>
        <v>0</v>
      </c>
      <c r="I122" s="659">
        <f t="shared" si="52"/>
        <v>0</v>
      </c>
      <c r="J122" s="659">
        <f t="shared" si="52"/>
        <v>0</v>
      </c>
      <c r="K122" s="659">
        <f t="shared" si="52"/>
        <v>0</v>
      </c>
      <c r="L122" s="659">
        <f t="shared" si="52"/>
        <v>0</v>
      </c>
      <c r="M122" s="684">
        <f>SUM(C122:L122)</f>
        <v>0</v>
      </c>
      <c r="N122" s="737">
        <f>-M120-M121</f>
        <v>0</v>
      </c>
    </row>
    <row r="123" spans="1:14">
      <c r="G123" s="8"/>
      <c r="J123" s="410"/>
      <c r="K123" s="409"/>
    </row>
    <row r="124" spans="1:14" ht="15.75" thickBot="1"/>
    <row r="125" spans="1:14" ht="21.75" thickBot="1">
      <c r="A125" s="2040" t="s">
        <v>121</v>
      </c>
      <c r="B125" s="2041"/>
      <c r="C125" s="2041"/>
      <c r="D125" s="2041"/>
      <c r="E125" s="2041"/>
      <c r="F125" s="2041"/>
      <c r="G125" s="2041"/>
      <c r="H125" s="2041"/>
      <c r="I125" s="2041"/>
      <c r="J125" s="2041"/>
      <c r="K125" s="2041"/>
      <c r="L125" s="2041"/>
      <c r="M125" s="2042"/>
    </row>
    <row r="127" spans="1:14" ht="18.75">
      <c r="A127" s="752" t="s">
        <v>699</v>
      </c>
      <c r="B127" s="38"/>
      <c r="C127" s="38"/>
      <c r="D127" s="38"/>
    </row>
    <row r="129" spans="1:14" ht="15.75" thickBot="1">
      <c r="A129" s="649" t="s">
        <v>62</v>
      </c>
      <c r="B129" s="24" t="s">
        <v>14</v>
      </c>
      <c r="C129" s="28">
        <v>2025</v>
      </c>
      <c r="D129" s="32">
        <v>2026</v>
      </c>
      <c r="E129" s="22">
        <v>2027</v>
      </c>
      <c r="F129" s="32">
        <v>2028</v>
      </c>
      <c r="G129" s="22">
        <v>2029</v>
      </c>
      <c r="H129" s="32">
        <v>2030</v>
      </c>
      <c r="I129" s="22">
        <v>2031</v>
      </c>
      <c r="J129" s="32">
        <v>2032</v>
      </c>
      <c r="K129" s="22">
        <v>2033</v>
      </c>
      <c r="L129" s="32">
        <v>2034</v>
      </c>
      <c r="M129" s="704" t="s">
        <v>700</v>
      </c>
      <c r="N129" s="14" t="s">
        <v>255</v>
      </c>
    </row>
    <row r="130" spans="1:14" ht="15.75" thickBot="1">
      <c r="A130" s="649" t="s">
        <v>592</v>
      </c>
      <c r="B130" s="24" t="s">
        <v>256</v>
      </c>
      <c r="C130" s="28">
        <v>1</v>
      </c>
      <c r="D130" s="32">
        <v>2</v>
      </c>
      <c r="E130" s="32">
        <v>3</v>
      </c>
      <c r="F130" s="32">
        <v>4</v>
      </c>
      <c r="G130" s="32">
        <v>5</v>
      </c>
      <c r="H130" s="32">
        <v>6</v>
      </c>
      <c r="I130" s="32">
        <v>7</v>
      </c>
      <c r="J130" s="32">
        <v>8</v>
      </c>
      <c r="K130" s="32">
        <v>9</v>
      </c>
      <c r="L130" s="32">
        <v>10</v>
      </c>
      <c r="M130" s="704"/>
      <c r="N130" s="14"/>
    </row>
    <row r="131" spans="1:14" ht="15.75" thickBot="1">
      <c r="A131" s="650" t="s">
        <v>593</v>
      </c>
      <c r="B131" s="647" t="s">
        <v>272</v>
      </c>
      <c r="C131" s="1474">
        <v>0</v>
      </c>
      <c r="D131" s="1475">
        <v>1</v>
      </c>
      <c r="E131" s="1475">
        <v>2</v>
      </c>
      <c r="F131" s="1475">
        <v>3</v>
      </c>
      <c r="G131" s="1475">
        <v>4</v>
      </c>
      <c r="H131" s="1475">
        <v>5</v>
      </c>
      <c r="I131" s="1475">
        <v>6</v>
      </c>
      <c r="J131" s="1475">
        <v>7</v>
      </c>
      <c r="K131" s="1475">
        <v>8</v>
      </c>
      <c r="L131" s="1476">
        <v>9</v>
      </c>
      <c r="M131" s="721" t="s">
        <v>296</v>
      </c>
    </row>
    <row r="132" spans="1:14" s="796" customFormat="1" ht="15.75" customHeight="1" thickBot="1">
      <c r="A132" s="649" t="s">
        <v>594</v>
      </c>
      <c r="B132" s="24" t="s">
        <v>595</v>
      </c>
      <c r="C132" s="872" t="s">
        <v>429</v>
      </c>
      <c r="D132" s="1598" t="s">
        <v>636</v>
      </c>
      <c r="E132" s="1598" t="s">
        <v>636</v>
      </c>
      <c r="F132" s="1598" t="s">
        <v>636</v>
      </c>
      <c r="G132" s="1598" t="s">
        <v>636</v>
      </c>
      <c r="H132" s="1598" t="s">
        <v>636</v>
      </c>
      <c r="I132" s="876" t="s">
        <v>40</v>
      </c>
      <c r="J132" s="876" t="s">
        <v>40</v>
      </c>
      <c r="K132" s="876" t="s">
        <v>40</v>
      </c>
      <c r="L132" s="877" t="s">
        <v>40</v>
      </c>
      <c r="M132" s="878" t="s">
        <v>254</v>
      </c>
      <c r="N132" s="1447"/>
    </row>
    <row r="133" spans="1:14" ht="15.75" thickBot="1">
      <c r="A133" s="650" t="s">
        <v>309</v>
      </c>
      <c r="B133" s="647" t="s">
        <v>2</v>
      </c>
      <c r="C133" s="687" t="s">
        <v>430</v>
      </c>
      <c r="D133" s="680">
        <v>12</v>
      </c>
      <c r="E133" s="681">
        <v>12</v>
      </c>
      <c r="F133" s="681">
        <v>12</v>
      </c>
      <c r="G133" s="681">
        <v>12</v>
      </c>
      <c r="H133" s="681">
        <v>12</v>
      </c>
      <c r="I133" s="681">
        <v>12</v>
      </c>
      <c r="J133" s="681">
        <v>12</v>
      </c>
      <c r="K133" s="681">
        <v>12</v>
      </c>
      <c r="L133" s="682">
        <v>12</v>
      </c>
      <c r="M133" s="706" t="s">
        <v>34</v>
      </c>
    </row>
    <row r="134" spans="1:14">
      <c r="A134" s="662" t="s">
        <v>279</v>
      </c>
      <c r="B134" s="665" t="s">
        <v>1</v>
      </c>
      <c r="C134" s="668">
        <f>'Provozní náklady'!D107</f>
        <v>0</v>
      </c>
      <c r="D134" s="683">
        <f>'Provozní náklady'!E107</f>
        <v>0</v>
      </c>
      <c r="E134" s="683">
        <f>'Provozní náklady'!F107</f>
        <v>0</v>
      </c>
      <c r="F134" s="683">
        <f>'Provozní náklady'!G107</f>
        <v>0</v>
      </c>
      <c r="G134" s="683">
        <f>'Provozní náklady'!H107</f>
        <v>0</v>
      </c>
      <c r="H134" s="683">
        <f>'Provozní náklady'!I107</f>
        <v>0</v>
      </c>
      <c r="I134" s="683">
        <f>'Provozní náklady'!J107</f>
        <v>0</v>
      </c>
      <c r="J134" s="683">
        <f>'Provozní náklady'!K107</f>
        <v>0</v>
      </c>
      <c r="K134" s="683">
        <f>'Provozní náklady'!L107</f>
        <v>0</v>
      </c>
      <c r="L134" s="702">
        <f>'Provozní náklady'!M107</f>
        <v>0</v>
      </c>
      <c r="M134" s="703">
        <f>SUM(C134:L134)</f>
        <v>0</v>
      </c>
    </row>
    <row r="135" spans="1:14" ht="15.75" thickBot="1">
      <c r="A135" s="662" t="s">
        <v>280</v>
      </c>
      <c r="B135" s="665" t="s">
        <v>1</v>
      </c>
      <c r="C135" s="668">
        <v>0</v>
      </c>
      <c r="D135" s="683">
        <v>0</v>
      </c>
      <c r="E135" s="683">
        <v>0</v>
      </c>
      <c r="F135" s="683">
        <v>0</v>
      </c>
      <c r="G135" s="683">
        <v>0</v>
      </c>
      <c r="H135" s="683">
        <v>0</v>
      </c>
      <c r="I135" s="683">
        <v>0</v>
      </c>
      <c r="J135" s="683">
        <v>0</v>
      </c>
      <c r="K135" s="683">
        <v>0</v>
      </c>
      <c r="L135" s="702">
        <v>0</v>
      </c>
      <c r="M135" s="673">
        <f>SUM(C135:L135)</f>
        <v>0</v>
      </c>
    </row>
    <row r="136" spans="1:14" ht="15.75" thickBot="1">
      <c r="A136" s="659" t="s">
        <v>293</v>
      </c>
      <c r="B136" s="660" t="s">
        <v>1</v>
      </c>
      <c r="C136" s="659">
        <f>-C134-C135</f>
        <v>0</v>
      </c>
      <c r="D136" s="659">
        <f t="shared" ref="D136" si="53">-D134-D135</f>
        <v>0</v>
      </c>
      <c r="E136" s="659">
        <f t="shared" ref="E136" si="54">-E134-E135</f>
        <v>0</v>
      </c>
      <c r="F136" s="659">
        <f t="shared" ref="F136" si="55">-F134-F135</f>
        <v>0</v>
      </c>
      <c r="G136" s="659">
        <f t="shared" ref="G136" si="56">-G134-G135</f>
        <v>0</v>
      </c>
      <c r="H136" s="659">
        <f t="shared" ref="H136" si="57">-H134-H135</f>
        <v>0</v>
      </c>
      <c r="I136" s="659">
        <f t="shared" ref="I136" si="58">-I134-I135</f>
        <v>0</v>
      </c>
      <c r="J136" s="659">
        <f t="shared" ref="J136" si="59">-J134-J135</f>
        <v>0</v>
      </c>
      <c r="K136" s="659">
        <f t="shared" ref="K136" si="60">-K134-K135</f>
        <v>0</v>
      </c>
      <c r="L136" s="659">
        <f t="shared" ref="L136" si="61">-L134-L135</f>
        <v>0</v>
      </c>
      <c r="M136" s="684">
        <f>SUM(C136:L136)</f>
        <v>0</v>
      </c>
      <c r="N136" s="737">
        <f>-M134-M135</f>
        <v>0</v>
      </c>
    </row>
    <row r="137" spans="1:14" ht="15.75" thickBot="1"/>
    <row r="138" spans="1:14" ht="19.5" thickBot="1">
      <c r="A138" s="1389" t="s">
        <v>550</v>
      </c>
      <c r="B138" s="1446">
        <v>0.04</v>
      </c>
    </row>
    <row r="139" spans="1:14">
      <c r="A139" s="646"/>
    </row>
    <row r="140" spans="1:14" ht="18.75">
      <c r="A140" s="752" t="s">
        <v>701</v>
      </c>
      <c r="B140" s="38"/>
      <c r="C140" s="38"/>
      <c r="D140" s="38"/>
    </row>
    <row r="141" spans="1:14" ht="15.75" thickBot="1"/>
    <row r="142" spans="1:14" ht="15.75" thickBot="1">
      <c r="A142" s="649" t="s">
        <v>62</v>
      </c>
      <c r="B142" s="24" t="s">
        <v>14</v>
      </c>
      <c r="C142" s="28">
        <v>2025</v>
      </c>
      <c r="D142" s="32">
        <v>2026</v>
      </c>
      <c r="E142" s="22">
        <v>2027</v>
      </c>
      <c r="F142" s="32">
        <v>2028</v>
      </c>
      <c r="G142" s="22">
        <v>2029</v>
      </c>
      <c r="H142" s="32">
        <v>2030</v>
      </c>
      <c r="I142" s="22">
        <v>2031</v>
      </c>
      <c r="J142" s="32">
        <v>2032</v>
      </c>
      <c r="K142" s="22">
        <v>2033</v>
      </c>
      <c r="L142" s="32">
        <v>2034</v>
      </c>
      <c r="M142" s="704" t="s">
        <v>700</v>
      </c>
      <c r="N142" s="14" t="s">
        <v>255</v>
      </c>
    </row>
    <row r="143" spans="1:14" ht="15.75" thickBot="1">
      <c r="A143" s="649" t="s">
        <v>592</v>
      </c>
      <c r="B143" s="24" t="s">
        <v>256</v>
      </c>
      <c r="C143" s="28">
        <v>1</v>
      </c>
      <c r="D143" s="32">
        <v>2</v>
      </c>
      <c r="E143" s="32">
        <v>3</v>
      </c>
      <c r="F143" s="32">
        <v>4</v>
      </c>
      <c r="G143" s="32">
        <v>5</v>
      </c>
      <c r="H143" s="32">
        <v>6</v>
      </c>
      <c r="I143" s="32">
        <v>7</v>
      </c>
      <c r="J143" s="32">
        <v>8</v>
      </c>
      <c r="K143" s="32">
        <v>9</v>
      </c>
      <c r="L143" s="32">
        <v>10</v>
      </c>
      <c r="M143" s="704"/>
      <c r="N143" s="14"/>
    </row>
    <row r="144" spans="1:14" ht="15.75" thickBot="1">
      <c r="A144" s="650" t="s">
        <v>593</v>
      </c>
      <c r="B144" s="647" t="s">
        <v>272</v>
      </c>
      <c r="C144" s="1474">
        <v>0</v>
      </c>
      <c r="D144" s="1475">
        <v>1</v>
      </c>
      <c r="E144" s="1475">
        <v>2</v>
      </c>
      <c r="F144" s="1475">
        <v>3</v>
      </c>
      <c r="G144" s="1475">
        <v>4</v>
      </c>
      <c r="H144" s="1475">
        <v>5</v>
      </c>
      <c r="I144" s="1475">
        <v>6</v>
      </c>
      <c r="J144" s="1475">
        <v>7</v>
      </c>
      <c r="K144" s="1475">
        <v>8</v>
      </c>
      <c r="L144" s="1476">
        <v>9</v>
      </c>
      <c r="M144" s="721" t="s">
        <v>296</v>
      </c>
    </row>
    <row r="145" spans="1:14" s="796" customFormat="1" ht="15.75" thickBot="1">
      <c r="A145" s="649" t="s">
        <v>594</v>
      </c>
      <c r="B145" s="24" t="s">
        <v>595</v>
      </c>
      <c r="C145" s="872" t="s">
        <v>429</v>
      </c>
      <c r="D145" s="1598" t="s">
        <v>636</v>
      </c>
      <c r="E145" s="1598" t="s">
        <v>636</v>
      </c>
      <c r="F145" s="1598" t="s">
        <v>636</v>
      </c>
      <c r="G145" s="1598" t="s">
        <v>636</v>
      </c>
      <c r="H145" s="1598" t="s">
        <v>636</v>
      </c>
      <c r="I145" s="876" t="s">
        <v>40</v>
      </c>
      <c r="J145" s="876" t="s">
        <v>40</v>
      </c>
      <c r="K145" s="876" t="s">
        <v>40</v>
      </c>
      <c r="L145" s="877" t="s">
        <v>40</v>
      </c>
      <c r="M145" s="878" t="s">
        <v>254</v>
      </c>
      <c r="N145" s="1447"/>
    </row>
    <row r="146" spans="1:14" ht="15.75" thickBot="1">
      <c r="A146" s="650" t="s">
        <v>309</v>
      </c>
      <c r="B146" s="647" t="s">
        <v>2</v>
      </c>
      <c r="C146" s="687" t="s">
        <v>430</v>
      </c>
      <c r="D146" s="680">
        <v>12</v>
      </c>
      <c r="E146" s="681">
        <v>12</v>
      </c>
      <c r="F146" s="681">
        <v>12</v>
      </c>
      <c r="G146" s="681">
        <v>12</v>
      </c>
      <c r="H146" s="681">
        <v>12</v>
      </c>
      <c r="I146" s="681">
        <v>12</v>
      </c>
      <c r="J146" s="681">
        <v>12</v>
      </c>
      <c r="K146" s="681">
        <v>12</v>
      </c>
      <c r="L146" s="682">
        <v>12</v>
      </c>
      <c r="M146" s="706" t="s">
        <v>34</v>
      </c>
    </row>
    <row r="147" spans="1:14">
      <c r="A147" s="662" t="s">
        <v>279</v>
      </c>
      <c r="B147" s="665" t="s">
        <v>1</v>
      </c>
      <c r="C147" s="668">
        <f t="shared" ref="C147:L147" si="62">C134/(1+$B$20)^C131</f>
        <v>0</v>
      </c>
      <c r="D147" s="683">
        <f t="shared" si="62"/>
        <v>0</v>
      </c>
      <c r="E147" s="675">
        <f t="shared" si="62"/>
        <v>0</v>
      </c>
      <c r="F147" s="675">
        <f t="shared" si="62"/>
        <v>0</v>
      </c>
      <c r="G147" s="675">
        <f t="shared" si="62"/>
        <v>0</v>
      </c>
      <c r="H147" s="675">
        <f t="shared" si="62"/>
        <v>0</v>
      </c>
      <c r="I147" s="675">
        <f t="shared" si="62"/>
        <v>0</v>
      </c>
      <c r="J147" s="675">
        <f t="shared" si="62"/>
        <v>0</v>
      </c>
      <c r="K147" s="675">
        <f t="shared" si="62"/>
        <v>0</v>
      </c>
      <c r="L147" s="691">
        <f t="shared" si="62"/>
        <v>0</v>
      </c>
      <c r="M147" s="703">
        <f>SUM(C147:L147)</f>
        <v>0</v>
      </c>
    </row>
    <row r="148" spans="1:14" ht="15.75" thickBot="1">
      <c r="A148" s="662" t="s">
        <v>280</v>
      </c>
      <c r="B148" s="665" t="s">
        <v>1</v>
      </c>
      <c r="C148" s="668">
        <f t="shared" ref="C148:L148" si="63">C135/(1+$B$20)^C131</f>
        <v>0</v>
      </c>
      <c r="D148" s="683">
        <f t="shared" si="63"/>
        <v>0</v>
      </c>
      <c r="E148" s="675">
        <f t="shared" si="63"/>
        <v>0</v>
      </c>
      <c r="F148" s="675">
        <f t="shared" si="63"/>
        <v>0</v>
      </c>
      <c r="G148" s="675">
        <f t="shared" si="63"/>
        <v>0</v>
      </c>
      <c r="H148" s="675">
        <f t="shared" si="63"/>
        <v>0</v>
      </c>
      <c r="I148" s="675">
        <f t="shared" si="63"/>
        <v>0</v>
      </c>
      <c r="J148" s="675">
        <f t="shared" si="63"/>
        <v>0</v>
      </c>
      <c r="K148" s="675">
        <f t="shared" si="63"/>
        <v>0</v>
      </c>
      <c r="L148" s="691">
        <f t="shared" si="63"/>
        <v>0</v>
      </c>
      <c r="M148" s="673">
        <f>SUM(C148:L148)</f>
        <v>0</v>
      </c>
    </row>
    <row r="149" spans="1:14" ht="15.75" thickBot="1">
      <c r="A149" s="659" t="s">
        <v>293</v>
      </c>
      <c r="B149" s="660" t="s">
        <v>1</v>
      </c>
      <c r="C149" s="659">
        <f>-C147-C148</f>
        <v>0</v>
      </c>
      <c r="D149" s="659">
        <f t="shared" ref="D149" si="64">-D147-D148</f>
        <v>0</v>
      </c>
      <c r="E149" s="659">
        <f t="shared" ref="E149" si="65">-E147-E148</f>
        <v>0</v>
      </c>
      <c r="F149" s="659">
        <f t="shared" ref="F149" si="66">-F147-F148</f>
        <v>0</v>
      </c>
      <c r="G149" s="659">
        <f t="shared" ref="G149" si="67">-G147-G148</f>
        <v>0</v>
      </c>
      <c r="H149" s="659">
        <f t="shared" ref="H149" si="68">-H147-H148</f>
        <v>0</v>
      </c>
      <c r="I149" s="659">
        <f t="shared" ref="I149" si="69">-I147-I148</f>
        <v>0</v>
      </c>
      <c r="J149" s="659">
        <f t="shared" ref="J149" si="70">-J147-J148</f>
        <v>0</v>
      </c>
      <c r="K149" s="659">
        <f t="shared" ref="K149" si="71">-K147-K148</f>
        <v>0</v>
      </c>
      <c r="L149" s="659">
        <f t="shared" ref="L149" si="72">-L147-L148</f>
        <v>0</v>
      </c>
      <c r="M149" s="684">
        <f>SUM(C149:L149)</f>
        <v>0</v>
      </c>
      <c r="N149" s="737">
        <f>-M147-M148</f>
        <v>0</v>
      </c>
    </row>
    <row r="151" spans="1:14" ht="15.75" thickBot="1"/>
    <row r="152" spans="1:14" ht="21.75" thickBot="1">
      <c r="A152" s="2046" t="s">
        <v>25</v>
      </c>
      <c r="B152" s="2047"/>
      <c r="C152" s="2047"/>
      <c r="D152" s="2047"/>
      <c r="E152" s="2047"/>
      <c r="F152" s="2047"/>
      <c r="G152" s="2047"/>
      <c r="H152" s="2047"/>
      <c r="I152" s="2047"/>
      <c r="J152" s="2047"/>
      <c r="K152" s="2047"/>
      <c r="L152" s="2047"/>
      <c r="M152" s="2048"/>
    </row>
    <row r="154" spans="1:14" ht="18.75">
      <c r="A154" s="752" t="s">
        <v>699</v>
      </c>
      <c r="B154" s="38"/>
      <c r="C154" s="38"/>
      <c r="D154" s="38"/>
    </row>
    <row r="155" spans="1:14" ht="15.75" thickBot="1"/>
    <row r="156" spans="1:14" ht="15.75" thickBot="1">
      <c r="A156" s="649" t="s">
        <v>62</v>
      </c>
      <c r="B156" s="24" t="s">
        <v>14</v>
      </c>
      <c r="C156" s="28">
        <v>2025</v>
      </c>
      <c r="D156" s="32">
        <v>2026</v>
      </c>
      <c r="E156" s="22">
        <v>2027</v>
      </c>
      <c r="F156" s="32">
        <v>2028</v>
      </c>
      <c r="G156" s="22">
        <v>2029</v>
      </c>
      <c r="H156" s="32">
        <v>2030</v>
      </c>
      <c r="I156" s="22">
        <v>2031</v>
      </c>
      <c r="J156" s="32">
        <v>2032</v>
      </c>
      <c r="K156" s="22">
        <v>2033</v>
      </c>
      <c r="L156" s="32">
        <v>2034</v>
      </c>
      <c r="M156" s="704" t="s">
        <v>700</v>
      </c>
      <c r="N156" s="14" t="s">
        <v>255</v>
      </c>
    </row>
    <row r="157" spans="1:14" ht="15.75" thickBot="1">
      <c r="A157" s="649" t="s">
        <v>592</v>
      </c>
      <c r="B157" s="24" t="s">
        <v>256</v>
      </c>
      <c r="C157" s="28">
        <v>1</v>
      </c>
      <c r="D157" s="32">
        <v>2</v>
      </c>
      <c r="E157" s="32">
        <v>3</v>
      </c>
      <c r="F157" s="32">
        <v>4</v>
      </c>
      <c r="G157" s="32">
        <v>5</v>
      </c>
      <c r="H157" s="32">
        <v>6</v>
      </c>
      <c r="I157" s="32">
        <v>7</v>
      </c>
      <c r="J157" s="32">
        <v>8</v>
      </c>
      <c r="K157" s="32">
        <v>9</v>
      </c>
      <c r="L157" s="32">
        <v>10</v>
      </c>
      <c r="M157" s="704"/>
      <c r="N157" s="14"/>
    </row>
    <row r="158" spans="1:14" ht="15.75" thickBot="1">
      <c r="A158" s="650" t="s">
        <v>593</v>
      </c>
      <c r="B158" s="647" t="s">
        <v>272</v>
      </c>
      <c r="C158" s="1474">
        <v>0</v>
      </c>
      <c r="D158" s="1475">
        <v>1</v>
      </c>
      <c r="E158" s="1475">
        <v>2</v>
      </c>
      <c r="F158" s="1475">
        <v>3</v>
      </c>
      <c r="G158" s="1475">
        <v>4</v>
      </c>
      <c r="H158" s="1475">
        <v>5</v>
      </c>
      <c r="I158" s="1475">
        <v>6</v>
      </c>
      <c r="J158" s="1475">
        <v>7</v>
      </c>
      <c r="K158" s="1475">
        <v>8</v>
      </c>
      <c r="L158" s="1476">
        <v>9</v>
      </c>
      <c r="M158" s="721" t="s">
        <v>296</v>
      </c>
    </row>
    <row r="159" spans="1:14" s="796" customFormat="1" ht="15.75" thickBot="1">
      <c r="A159" s="649" t="s">
        <v>594</v>
      </c>
      <c r="B159" s="24" t="s">
        <v>595</v>
      </c>
      <c r="C159" s="872" t="s">
        <v>429</v>
      </c>
      <c r="D159" s="1598" t="s">
        <v>636</v>
      </c>
      <c r="E159" s="1598" t="s">
        <v>636</v>
      </c>
      <c r="F159" s="1598" t="s">
        <v>636</v>
      </c>
      <c r="G159" s="1598" t="s">
        <v>636</v>
      </c>
      <c r="H159" s="1598" t="s">
        <v>636</v>
      </c>
      <c r="I159" s="876" t="s">
        <v>40</v>
      </c>
      <c r="J159" s="876" t="s">
        <v>40</v>
      </c>
      <c r="K159" s="876" t="s">
        <v>40</v>
      </c>
      <c r="L159" s="877" t="s">
        <v>40</v>
      </c>
      <c r="M159" s="878" t="s">
        <v>254</v>
      </c>
      <c r="N159" s="1447"/>
    </row>
    <row r="160" spans="1:14" ht="15.75" thickBot="1">
      <c r="A160" s="650" t="s">
        <v>309</v>
      </c>
      <c r="B160" s="647" t="s">
        <v>2</v>
      </c>
      <c r="C160" s="687" t="s">
        <v>430</v>
      </c>
      <c r="D160" s="680">
        <v>12</v>
      </c>
      <c r="E160" s="681">
        <v>12</v>
      </c>
      <c r="F160" s="681">
        <v>12</v>
      </c>
      <c r="G160" s="681">
        <v>12</v>
      </c>
      <c r="H160" s="681">
        <v>12</v>
      </c>
      <c r="I160" s="681">
        <v>12</v>
      </c>
      <c r="J160" s="681">
        <v>12</v>
      </c>
      <c r="K160" s="681">
        <v>12</v>
      </c>
      <c r="L160" s="682">
        <v>12</v>
      </c>
      <c r="M160" s="728" t="s">
        <v>34</v>
      </c>
    </row>
    <row r="161" spans="1:14">
      <c r="A161" s="662" t="s">
        <v>279</v>
      </c>
      <c r="B161" s="665" t="s">
        <v>1</v>
      </c>
      <c r="C161" s="668">
        <f t="shared" ref="C161:L161" si="73">C134-C107</f>
        <v>0</v>
      </c>
      <c r="D161" s="683">
        <f t="shared" si="73"/>
        <v>0</v>
      </c>
      <c r="E161" s="683">
        <f t="shared" si="73"/>
        <v>0</v>
      </c>
      <c r="F161" s="683">
        <f t="shared" si="73"/>
        <v>0</v>
      </c>
      <c r="G161" s="683">
        <f t="shared" si="73"/>
        <v>0</v>
      </c>
      <c r="H161" s="683">
        <f t="shared" si="73"/>
        <v>0</v>
      </c>
      <c r="I161" s="683">
        <f t="shared" si="73"/>
        <v>0</v>
      </c>
      <c r="J161" s="683">
        <f t="shared" si="73"/>
        <v>0</v>
      </c>
      <c r="K161" s="683">
        <f t="shared" si="73"/>
        <v>0</v>
      </c>
      <c r="L161" s="722">
        <f t="shared" si="73"/>
        <v>0</v>
      </c>
      <c r="M161" s="727">
        <f>SUM(C161:L161)</f>
        <v>0</v>
      </c>
    </row>
    <row r="162" spans="1:14" ht="15.75" thickBot="1">
      <c r="A162" s="662" t="s">
        <v>280</v>
      </c>
      <c r="B162" s="665" t="s">
        <v>1</v>
      </c>
      <c r="C162" s="668">
        <f>C148-C108</f>
        <v>0</v>
      </c>
      <c r="D162" s="683">
        <f t="shared" ref="D162:L162" si="74">D135-D108</f>
        <v>0</v>
      </c>
      <c r="E162" s="683">
        <f t="shared" si="74"/>
        <v>0</v>
      </c>
      <c r="F162" s="683">
        <f t="shared" si="74"/>
        <v>0</v>
      </c>
      <c r="G162" s="683">
        <f t="shared" si="74"/>
        <v>0</v>
      </c>
      <c r="H162" s="683">
        <f t="shared" si="74"/>
        <v>0</v>
      </c>
      <c r="I162" s="683">
        <f t="shared" si="74"/>
        <v>0</v>
      </c>
      <c r="J162" s="683">
        <f t="shared" si="74"/>
        <v>0</v>
      </c>
      <c r="K162" s="683">
        <f t="shared" si="74"/>
        <v>0</v>
      </c>
      <c r="L162" s="722">
        <f t="shared" si="74"/>
        <v>0</v>
      </c>
      <c r="M162" s="670">
        <f>SUM(C162:L162)</f>
        <v>0</v>
      </c>
    </row>
    <row r="163" spans="1:14" ht="15.75" thickBot="1">
      <c r="A163" s="659" t="s">
        <v>293</v>
      </c>
      <c r="B163" s="655" t="s">
        <v>1</v>
      </c>
      <c r="C163" s="699">
        <f>-C161-C162</f>
        <v>0</v>
      </c>
      <c r="D163" s="656">
        <f>-D161-D162</f>
        <v>0</v>
      </c>
      <c r="E163" s="656">
        <f t="shared" ref="E163:L163" si="75">-E161-E162</f>
        <v>0</v>
      </c>
      <c r="F163" s="656">
        <f t="shared" si="75"/>
        <v>0</v>
      </c>
      <c r="G163" s="656">
        <f t="shared" si="75"/>
        <v>0</v>
      </c>
      <c r="H163" s="656">
        <f t="shared" si="75"/>
        <v>0</v>
      </c>
      <c r="I163" s="656">
        <f t="shared" si="75"/>
        <v>0</v>
      </c>
      <c r="J163" s="656">
        <f t="shared" si="75"/>
        <v>0</v>
      </c>
      <c r="K163" s="656">
        <f t="shared" si="75"/>
        <v>0</v>
      </c>
      <c r="L163" s="723">
        <f t="shared" si="75"/>
        <v>0</v>
      </c>
      <c r="M163" s="699">
        <f>SUM(C163:L163)</f>
        <v>0</v>
      </c>
      <c r="N163" s="737">
        <f>-M161+-M162</f>
        <v>0</v>
      </c>
    </row>
    <row r="165" spans="1:14" ht="18.75">
      <c r="A165" s="752" t="s">
        <v>701</v>
      </c>
      <c r="B165" s="38"/>
      <c r="C165" s="38"/>
      <c r="D165" s="38"/>
    </row>
    <row r="166" spans="1:14" ht="15.75" thickBot="1"/>
    <row r="167" spans="1:14" ht="15.75" thickBot="1">
      <c r="A167" s="649" t="s">
        <v>62</v>
      </c>
      <c r="B167" s="24" t="s">
        <v>14</v>
      </c>
      <c r="C167" s="28">
        <v>2025</v>
      </c>
      <c r="D167" s="32">
        <v>2026</v>
      </c>
      <c r="E167" s="22">
        <v>2027</v>
      </c>
      <c r="F167" s="32">
        <v>2028</v>
      </c>
      <c r="G167" s="22">
        <v>2029</v>
      </c>
      <c r="H167" s="32">
        <v>2030</v>
      </c>
      <c r="I167" s="22">
        <v>2031</v>
      </c>
      <c r="J167" s="32">
        <v>2032</v>
      </c>
      <c r="K167" s="22">
        <v>2033</v>
      </c>
      <c r="L167" s="32">
        <v>2034</v>
      </c>
      <c r="M167" s="704" t="s">
        <v>700</v>
      </c>
      <c r="N167" s="14" t="s">
        <v>255</v>
      </c>
    </row>
    <row r="168" spans="1:14" ht="15.75" thickBot="1">
      <c r="A168" s="649" t="s">
        <v>592</v>
      </c>
      <c r="B168" s="24" t="s">
        <v>256</v>
      </c>
      <c r="C168" s="28">
        <v>1</v>
      </c>
      <c r="D168" s="32">
        <v>2</v>
      </c>
      <c r="E168" s="32">
        <v>3</v>
      </c>
      <c r="F168" s="32">
        <v>4</v>
      </c>
      <c r="G168" s="32">
        <v>5</v>
      </c>
      <c r="H168" s="32">
        <v>6</v>
      </c>
      <c r="I168" s="32">
        <v>7</v>
      </c>
      <c r="J168" s="32">
        <v>8</v>
      </c>
      <c r="K168" s="32">
        <v>9</v>
      </c>
      <c r="L168" s="32">
        <v>10</v>
      </c>
      <c r="M168" s="704"/>
      <c r="N168" s="14"/>
    </row>
    <row r="169" spans="1:14" ht="15.75" thickBot="1">
      <c r="A169" s="650" t="s">
        <v>593</v>
      </c>
      <c r="B169" s="647" t="s">
        <v>272</v>
      </c>
      <c r="C169" s="1474">
        <v>0</v>
      </c>
      <c r="D169" s="1475">
        <v>1</v>
      </c>
      <c r="E169" s="1475">
        <v>2</v>
      </c>
      <c r="F169" s="1475">
        <v>3</v>
      </c>
      <c r="G169" s="1475">
        <v>4</v>
      </c>
      <c r="H169" s="1475">
        <v>5</v>
      </c>
      <c r="I169" s="1475">
        <v>6</v>
      </c>
      <c r="J169" s="1475">
        <v>7</v>
      </c>
      <c r="K169" s="1475">
        <v>8</v>
      </c>
      <c r="L169" s="1476">
        <v>9</v>
      </c>
      <c r="M169" s="704" t="s">
        <v>296</v>
      </c>
    </row>
    <row r="170" spans="1:14" s="796" customFormat="1" ht="15.75" thickBot="1">
      <c r="A170" s="649" t="s">
        <v>594</v>
      </c>
      <c r="B170" s="24" t="s">
        <v>595</v>
      </c>
      <c r="C170" s="872" t="s">
        <v>429</v>
      </c>
      <c r="D170" s="1598" t="s">
        <v>636</v>
      </c>
      <c r="E170" s="1598" t="s">
        <v>636</v>
      </c>
      <c r="F170" s="1598" t="s">
        <v>636</v>
      </c>
      <c r="G170" s="1598" t="s">
        <v>636</v>
      </c>
      <c r="H170" s="1598" t="s">
        <v>636</v>
      </c>
      <c r="I170" s="876" t="s">
        <v>40</v>
      </c>
      <c r="J170" s="876" t="s">
        <v>40</v>
      </c>
      <c r="K170" s="876" t="s">
        <v>40</v>
      </c>
      <c r="L170" s="877" t="s">
        <v>40</v>
      </c>
      <c r="M170" s="1295" t="s">
        <v>254</v>
      </c>
      <c r="N170" s="1447"/>
    </row>
    <row r="171" spans="1:14" ht="15.75" thickBot="1">
      <c r="A171" s="650" t="s">
        <v>309</v>
      </c>
      <c r="B171" s="647" t="s">
        <v>2</v>
      </c>
      <c r="C171" s="687" t="s">
        <v>430</v>
      </c>
      <c r="D171" s="680">
        <v>12</v>
      </c>
      <c r="E171" s="681">
        <v>12</v>
      </c>
      <c r="F171" s="681">
        <v>12</v>
      </c>
      <c r="G171" s="681">
        <v>12</v>
      </c>
      <c r="H171" s="681">
        <v>12</v>
      </c>
      <c r="I171" s="681">
        <v>12</v>
      </c>
      <c r="J171" s="681">
        <v>12</v>
      </c>
      <c r="K171" s="681">
        <v>12</v>
      </c>
      <c r="L171" s="682">
        <v>12</v>
      </c>
      <c r="M171" s="728" t="s">
        <v>34</v>
      </c>
    </row>
    <row r="172" spans="1:14">
      <c r="A172" s="662" t="s">
        <v>279</v>
      </c>
      <c r="B172" s="665" t="s">
        <v>1</v>
      </c>
      <c r="C172" s="668">
        <f t="shared" ref="C172:L172" si="76">C161/(1+$B$20)^C158</f>
        <v>0</v>
      </c>
      <c r="D172" s="683">
        <f t="shared" si="76"/>
        <v>0</v>
      </c>
      <c r="E172" s="675">
        <f t="shared" si="76"/>
        <v>0</v>
      </c>
      <c r="F172" s="675">
        <f t="shared" si="76"/>
        <v>0</v>
      </c>
      <c r="G172" s="675">
        <f t="shared" si="76"/>
        <v>0</v>
      </c>
      <c r="H172" s="675">
        <f t="shared" si="76"/>
        <v>0</v>
      </c>
      <c r="I172" s="675">
        <f t="shared" si="76"/>
        <v>0</v>
      </c>
      <c r="J172" s="675">
        <f t="shared" si="76"/>
        <v>0</v>
      </c>
      <c r="K172" s="675">
        <f t="shared" si="76"/>
        <v>0</v>
      </c>
      <c r="L172" s="724">
        <f t="shared" si="76"/>
        <v>0</v>
      </c>
      <c r="M172" s="727">
        <f>SUM(C172:L172)</f>
        <v>0</v>
      </c>
    </row>
    <row r="173" spans="1:14" ht="15.75" thickBot="1">
      <c r="A173" s="662" t="s">
        <v>280</v>
      </c>
      <c r="B173" s="665" t="s">
        <v>1</v>
      </c>
      <c r="C173" s="668">
        <f t="shared" ref="C173:L173" si="77">C162/(1+$B$20)^C158</f>
        <v>0</v>
      </c>
      <c r="D173" s="683">
        <f t="shared" si="77"/>
        <v>0</v>
      </c>
      <c r="E173" s="675">
        <f t="shared" si="77"/>
        <v>0</v>
      </c>
      <c r="F173" s="675">
        <f t="shared" si="77"/>
        <v>0</v>
      </c>
      <c r="G173" s="675">
        <f t="shared" si="77"/>
        <v>0</v>
      </c>
      <c r="H173" s="675">
        <f t="shared" si="77"/>
        <v>0</v>
      </c>
      <c r="I173" s="675">
        <f t="shared" si="77"/>
        <v>0</v>
      </c>
      <c r="J173" s="675">
        <f t="shared" si="77"/>
        <v>0</v>
      </c>
      <c r="K173" s="675">
        <f t="shared" si="77"/>
        <v>0</v>
      </c>
      <c r="L173" s="724">
        <f t="shared" si="77"/>
        <v>0</v>
      </c>
      <c r="M173" s="670">
        <f>SUM(C173:L173)</f>
        <v>0</v>
      </c>
    </row>
    <row r="174" spans="1:14" ht="15.75" thickBot="1">
      <c r="A174" s="659" t="s">
        <v>293</v>
      </c>
      <c r="B174" s="660" t="s">
        <v>1</v>
      </c>
      <c r="C174" s="659">
        <f>-C172-C173</f>
        <v>0</v>
      </c>
      <c r="D174" s="684">
        <f>-D172+-D173</f>
        <v>0</v>
      </c>
      <c r="E174" s="684">
        <f t="shared" ref="E174:L174" si="78">-E172+-E173</f>
        <v>0</v>
      </c>
      <c r="F174" s="684">
        <f t="shared" si="78"/>
        <v>0</v>
      </c>
      <c r="G174" s="684">
        <f t="shared" si="78"/>
        <v>0</v>
      </c>
      <c r="H174" s="684">
        <f t="shared" si="78"/>
        <v>0</v>
      </c>
      <c r="I174" s="684">
        <f t="shared" si="78"/>
        <v>0</v>
      </c>
      <c r="J174" s="684">
        <f t="shared" si="78"/>
        <v>0</v>
      </c>
      <c r="K174" s="684">
        <f t="shared" si="78"/>
        <v>0</v>
      </c>
      <c r="L174" s="725">
        <f t="shared" si="78"/>
        <v>0</v>
      </c>
      <c r="M174" s="659">
        <f>SUM(C174:L174)</f>
        <v>0</v>
      </c>
      <c r="N174" s="737">
        <f>-M172+-M173</f>
        <v>0</v>
      </c>
    </row>
    <row r="177" spans="1:13" ht="24" thickBot="1">
      <c r="A177" s="2038" t="s">
        <v>281</v>
      </c>
      <c r="B177" s="2038"/>
      <c r="C177" s="2038"/>
      <c r="D177" s="2038"/>
      <c r="E177" s="2038"/>
      <c r="F177" s="2038"/>
      <c r="G177" s="2038"/>
      <c r="H177" s="2038"/>
      <c r="I177" s="2038"/>
      <c r="J177" s="2038"/>
      <c r="K177" s="2038"/>
      <c r="L177" s="2038"/>
      <c r="M177" s="2039"/>
    </row>
    <row r="204" spans="1:13" ht="24" thickBot="1">
      <c r="A204" s="2052" t="s">
        <v>635</v>
      </c>
      <c r="B204" s="2052"/>
      <c r="C204" s="2052"/>
      <c r="D204" s="2052"/>
      <c r="E204" s="2052"/>
      <c r="F204" s="2052"/>
      <c r="G204" s="2052"/>
      <c r="H204" s="2052"/>
      <c r="I204" s="2052"/>
      <c r="J204" s="2052"/>
      <c r="K204" s="2052"/>
      <c r="L204" s="2052"/>
      <c r="M204" s="2053"/>
    </row>
    <row r="205" spans="1:13" ht="15.75" thickBot="1"/>
    <row r="206" spans="1:13" ht="21.75" thickBot="1">
      <c r="A206" s="2043" t="s">
        <v>124</v>
      </c>
      <c r="B206" s="2044"/>
      <c r="C206" s="2044"/>
      <c r="D206" s="2044"/>
      <c r="E206" s="2044"/>
      <c r="F206" s="2044"/>
      <c r="G206" s="2044"/>
      <c r="H206" s="2044"/>
      <c r="I206" s="2044"/>
      <c r="J206" s="2044"/>
      <c r="K206" s="2044"/>
      <c r="L206" s="2044"/>
      <c r="M206" s="2045"/>
    </row>
    <row r="207" spans="1:13" ht="15.75" thickBot="1"/>
    <row r="208" spans="1:13" ht="15.75" thickBot="1">
      <c r="A208" s="649" t="s">
        <v>62</v>
      </c>
      <c r="B208" s="24" t="s">
        <v>14</v>
      </c>
      <c r="C208" s="28">
        <v>2025</v>
      </c>
      <c r="D208" s="32">
        <v>2026</v>
      </c>
      <c r="E208" s="22">
        <v>2027</v>
      </c>
      <c r="F208" s="32">
        <v>2028</v>
      </c>
      <c r="G208" s="22">
        <v>2029</v>
      </c>
      <c r="H208" s="32">
        <v>2030</v>
      </c>
      <c r="I208" s="22">
        <v>2031</v>
      </c>
      <c r="J208" s="32">
        <v>2032</v>
      </c>
      <c r="K208" s="22">
        <v>2033</v>
      </c>
      <c r="L208" s="32">
        <v>2034</v>
      </c>
      <c r="M208" s="704" t="s">
        <v>700</v>
      </c>
    </row>
    <row r="209" spans="1:15" ht="15.75" thickBot="1">
      <c r="A209" s="649" t="s">
        <v>592</v>
      </c>
      <c r="B209" s="24" t="s">
        <v>256</v>
      </c>
      <c r="C209" s="28">
        <v>1</v>
      </c>
      <c r="D209" s="32">
        <v>2</v>
      </c>
      <c r="E209" s="32">
        <v>3</v>
      </c>
      <c r="F209" s="32">
        <v>4</v>
      </c>
      <c r="G209" s="32">
        <v>5</v>
      </c>
      <c r="H209" s="32">
        <v>6</v>
      </c>
      <c r="I209" s="32">
        <v>7</v>
      </c>
      <c r="J209" s="32">
        <v>8</v>
      </c>
      <c r="K209" s="32">
        <v>9</v>
      </c>
      <c r="L209" s="32">
        <v>10</v>
      </c>
      <c r="M209" s="704" t="s">
        <v>273</v>
      </c>
    </row>
    <row r="210" spans="1:15" ht="15.75" thickBot="1">
      <c r="A210" s="650" t="s">
        <v>593</v>
      </c>
      <c r="B210" s="647" t="s">
        <v>272</v>
      </c>
      <c r="C210" s="1474">
        <v>0</v>
      </c>
      <c r="D210" s="1475">
        <v>1</v>
      </c>
      <c r="E210" s="1475">
        <v>2</v>
      </c>
      <c r="F210" s="1475">
        <v>3</v>
      </c>
      <c r="G210" s="1475">
        <v>4</v>
      </c>
      <c r="H210" s="1475">
        <v>5</v>
      </c>
      <c r="I210" s="1475">
        <v>6</v>
      </c>
      <c r="J210" s="1475">
        <v>7</v>
      </c>
      <c r="K210" s="1475">
        <v>8</v>
      </c>
      <c r="L210" s="1476">
        <v>9</v>
      </c>
      <c r="M210" s="721" t="s">
        <v>296</v>
      </c>
    </row>
    <row r="211" spans="1:15" s="796" customFormat="1" ht="15.75" customHeight="1" thickBot="1">
      <c r="A211" s="649" t="s">
        <v>594</v>
      </c>
      <c r="B211" s="24" t="s">
        <v>595</v>
      </c>
      <c r="C211" s="872" t="s">
        <v>429</v>
      </c>
      <c r="D211" s="1598" t="s">
        <v>636</v>
      </c>
      <c r="E211" s="1598" t="s">
        <v>636</v>
      </c>
      <c r="F211" s="1598" t="s">
        <v>636</v>
      </c>
      <c r="G211" s="1598" t="s">
        <v>636</v>
      </c>
      <c r="H211" s="1598" t="s">
        <v>636</v>
      </c>
      <c r="I211" s="1598" t="s">
        <v>40</v>
      </c>
      <c r="J211" s="1598" t="s">
        <v>40</v>
      </c>
      <c r="K211" s="1598" t="s">
        <v>40</v>
      </c>
      <c r="L211" s="1599" t="s">
        <v>40</v>
      </c>
      <c r="M211" s="1600" t="s">
        <v>254</v>
      </c>
      <c r="N211" s="1447"/>
    </row>
    <row r="212" spans="1:15" ht="15.75" thickBot="1">
      <c r="A212" s="650" t="s">
        <v>309</v>
      </c>
      <c r="B212" s="647" t="s">
        <v>2</v>
      </c>
      <c r="C212" s="687" t="s">
        <v>430</v>
      </c>
      <c r="D212" s="680">
        <v>12</v>
      </c>
      <c r="E212" s="681">
        <v>12</v>
      </c>
      <c r="F212" s="681">
        <v>12</v>
      </c>
      <c r="G212" s="681">
        <v>12</v>
      </c>
      <c r="H212" s="681">
        <v>12</v>
      </c>
      <c r="I212" s="681">
        <v>12</v>
      </c>
      <c r="J212" s="681">
        <v>12</v>
      </c>
      <c r="K212" s="681">
        <v>12</v>
      </c>
      <c r="L212" s="682">
        <v>12</v>
      </c>
      <c r="M212" s="705" t="s">
        <v>34</v>
      </c>
    </row>
    <row r="213" spans="1:15">
      <c r="A213" s="662" t="s">
        <v>282</v>
      </c>
      <c r="B213" s="665" t="s">
        <v>1</v>
      </c>
      <c r="C213" s="741">
        <f t="shared" ref="C213:L213" si="79">C16</f>
        <v>0</v>
      </c>
      <c r="D213" s="742">
        <f t="shared" si="79"/>
        <v>0</v>
      </c>
      <c r="E213" s="742">
        <f t="shared" si="79"/>
        <v>0</v>
      </c>
      <c r="F213" s="742">
        <f t="shared" si="79"/>
        <v>0</v>
      </c>
      <c r="G213" s="742">
        <f t="shared" si="79"/>
        <v>0</v>
      </c>
      <c r="H213" s="742">
        <f t="shared" si="79"/>
        <v>0</v>
      </c>
      <c r="I213" s="742">
        <f t="shared" si="79"/>
        <v>0</v>
      </c>
      <c r="J213" s="742">
        <f t="shared" si="79"/>
        <v>0</v>
      </c>
      <c r="K213" s="742">
        <f t="shared" si="79"/>
        <v>0</v>
      </c>
      <c r="L213" s="743">
        <f t="shared" si="79"/>
        <v>0</v>
      </c>
      <c r="M213" s="670">
        <f t="shared" ref="M213:M218" si="80">SUM(C213:L213)</f>
        <v>0</v>
      </c>
    </row>
    <row r="214" spans="1:15">
      <c r="A214" s="662" t="s">
        <v>283</v>
      </c>
      <c r="B214" s="665" t="s">
        <v>1</v>
      </c>
      <c r="C214" s="744">
        <f t="shared" ref="C214:L214" si="81">C15</f>
        <v>0</v>
      </c>
      <c r="D214" s="675">
        <f t="shared" si="81"/>
        <v>0</v>
      </c>
      <c r="E214" s="675">
        <f t="shared" si="81"/>
        <v>0</v>
      </c>
      <c r="F214" s="675">
        <f t="shared" si="81"/>
        <v>0</v>
      </c>
      <c r="G214" s="675">
        <f t="shared" si="81"/>
        <v>0</v>
      </c>
      <c r="H214" s="675">
        <f t="shared" si="81"/>
        <v>0</v>
      </c>
      <c r="I214" s="675">
        <f t="shared" si="81"/>
        <v>0</v>
      </c>
      <c r="J214" s="675">
        <f t="shared" si="81"/>
        <v>0</v>
      </c>
      <c r="K214" s="675">
        <f t="shared" si="81"/>
        <v>0</v>
      </c>
      <c r="L214" s="691">
        <f t="shared" si="81"/>
        <v>0</v>
      </c>
      <c r="M214" s="670">
        <f t="shared" si="80"/>
        <v>0</v>
      </c>
    </row>
    <row r="215" spans="1:15">
      <c r="A215" s="662" t="s">
        <v>343</v>
      </c>
      <c r="B215" s="665" t="s">
        <v>1</v>
      </c>
      <c r="C215" s="744">
        <f t="shared" ref="C215:L215" si="82">C109</f>
        <v>0</v>
      </c>
      <c r="D215" s="675">
        <f t="shared" si="82"/>
        <v>0</v>
      </c>
      <c r="E215" s="675">
        <f t="shared" si="82"/>
        <v>0</v>
      </c>
      <c r="F215" s="675">
        <f t="shared" si="82"/>
        <v>0</v>
      </c>
      <c r="G215" s="675">
        <f t="shared" si="82"/>
        <v>0</v>
      </c>
      <c r="H215" s="675">
        <f t="shared" si="82"/>
        <v>0</v>
      </c>
      <c r="I215" s="675">
        <f t="shared" si="82"/>
        <v>0</v>
      </c>
      <c r="J215" s="675">
        <f t="shared" si="82"/>
        <v>0</v>
      </c>
      <c r="K215" s="675">
        <f t="shared" si="82"/>
        <v>0</v>
      </c>
      <c r="L215" s="691">
        <f t="shared" si="82"/>
        <v>0</v>
      </c>
      <c r="M215" s="670">
        <f t="shared" si="80"/>
        <v>0</v>
      </c>
    </row>
    <row r="216" spans="1:15" ht="15.75" thickBot="1">
      <c r="A216" s="663" t="s">
        <v>284</v>
      </c>
      <c r="B216" s="666" t="s">
        <v>1</v>
      </c>
      <c r="C216" s="745">
        <f t="shared" ref="C216:L216" si="83">C14</f>
        <v>0</v>
      </c>
      <c r="D216" s="695">
        <f t="shared" si="83"/>
        <v>0</v>
      </c>
      <c r="E216" s="695">
        <f t="shared" si="83"/>
        <v>0</v>
      </c>
      <c r="F216" s="695">
        <f t="shared" si="83"/>
        <v>0</v>
      </c>
      <c r="G216" s="695">
        <f t="shared" si="83"/>
        <v>0</v>
      </c>
      <c r="H216" s="695">
        <f t="shared" si="83"/>
        <v>0</v>
      </c>
      <c r="I216" s="695">
        <f t="shared" si="83"/>
        <v>0</v>
      </c>
      <c r="J216" s="695">
        <f t="shared" si="83"/>
        <v>0</v>
      </c>
      <c r="K216" s="695">
        <f t="shared" si="83"/>
        <v>0</v>
      </c>
      <c r="L216" s="696">
        <f t="shared" si="83"/>
        <v>0</v>
      </c>
      <c r="M216" s="671">
        <f t="shared" si="80"/>
        <v>0</v>
      </c>
    </row>
    <row r="217" spans="1:15" ht="15.75" thickBot="1">
      <c r="A217" s="654" t="s">
        <v>294</v>
      </c>
      <c r="B217" s="707" t="s">
        <v>1</v>
      </c>
      <c r="C217" s="708">
        <f>-C213+-C214+-C215+C216</f>
        <v>0</v>
      </c>
      <c r="D217" s="708">
        <f t="shared" ref="D217:L217" si="84">-D213+-D214+-D215+D216</f>
        <v>0</v>
      </c>
      <c r="E217" s="708">
        <f t="shared" si="84"/>
        <v>0</v>
      </c>
      <c r="F217" s="708">
        <f t="shared" si="84"/>
        <v>0</v>
      </c>
      <c r="G217" s="708">
        <f t="shared" si="84"/>
        <v>0</v>
      </c>
      <c r="H217" s="708">
        <f t="shared" si="84"/>
        <v>0</v>
      </c>
      <c r="I217" s="708">
        <f t="shared" si="84"/>
        <v>0</v>
      </c>
      <c r="J217" s="708">
        <f t="shared" si="84"/>
        <v>0</v>
      </c>
      <c r="K217" s="708">
        <f t="shared" si="84"/>
        <v>0</v>
      </c>
      <c r="L217" s="708">
        <f t="shared" si="84"/>
        <v>0</v>
      </c>
      <c r="M217" s="709">
        <f t="shared" si="80"/>
        <v>0</v>
      </c>
    </row>
    <row r="218" spans="1:15" ht="15.75" customHeight="1" thickBot="1">
      <c r="A218" s="729" t="s">
        <v>295</v>
      </c>
      <c r="B218" s="730" t="s">
        <v>1</v>
      </c>
      <c r="C218" s="731">
        <f>C217/(1+$B$20)^C210</f>
        <v>0</v>
      </c>
      <c r="D218" s="731">
        <f t="shared" ref="D218:L218" si="85">D217/(1+$B$20)^D210</f>
        <v>0</v>
      </c>
      <c r="E218" s="731">
        <f t="shared" si="85"/>
        <v>0</v>
      </c>
      <c r="F218" s="731">
        <f t="shared" si="85"/>
        <v>0</v>
      </c>
      <c r="G218" s="731">
        <f t="shared" si="85"/>
        <v>0</v>
      </c>
      <c r="H218" s="731">
        <f t="shared" si="85"/>
        <v>0</v>
      </c>
      <c r="I218" s="731">
        <f t="shared" si="85"/>
        <v>0</v>
      </c>
      <c r="J218" s="731">
        <f t="shared" si="85"/>
        <v>0</v>
      </c>
      <c r="K218" s="731">
        <f t="shared" si="85"/>
        <v>0</v>
      </c>
      <c r="L218" s="731">
        <f t="shared" si="85"/>
        <v>0</v>
      </c>
      <c r="M218" s="731">
        <f t="shared" si="80"/>
        <v>0</v>
      </c>
    </row>
    <row r="220" spans="1:15" ht="15.75">
      <c r="A220" s="1448" t="s">
        <v>265</v>
      </c>
      <c r="B220" s="719"/>
    </row>
    <row r="221" spans="1:15" ht="18">
      <c r="A221" t="s">
        <v>552</v>
      </c>
      <c r="C221" s="46">
        <f>C217</f>
        <v>0</v>
      </c>
      <c r="D221" s="46">
        <f>C221+D217</f>
        <v>0</v>
      </c>
      <c r="E221" s="46">
        <f>D221+E217</f>
        <v>0</v>
      </c>
      <c r="F221" s="46">
        <f t="shared" ref="F221:L221" si="86">E221+F217</f>
        <v>0</v>
      </c>
      <c r="G221" s="733">
        <f t="shared" si="86"/>
        <v>0</v>
      </c>
      <c r="H221" s="734">
        <f t="shared" si="86"/>
        <v>0</v>
      </c>
      <c r="I221" s="46">
        <f t="shared" si="86"/>
        <v>0</v>
      </c>
      <c r="J221" s="46">
        <f t="shared" si="86"/>
        <v>0</v>
      </c>
      <c r="K221" s="46">
        <f t="shared" si="86"/>
        <v>0</v>
      </c>
      <c r="L221" s="46">
        <f t="shared" si="86"/>
        <v>0</v>
      </c>
    </row>
    <row r="222" spans="1:15" ht="18.75" thickBot="1">
      <c r="A222" t="s">
        <v>566</v>
      </c>
      <c r="G222" s="732">
        <v>5</v>
      </c>
      <c r="H222" s="720">
        <v>6</v>
      </c>
    </row>
    <row r="223" spans="1:15" ht="15.75" thickBot="1">
      <c r="A223" t="s">
        <v>261</v>
      </c>
      <c r="G223" s="434" t="e">
        <f>-G221/H217</f>
        <v>#DIV/0!</v>
      </c>
      <c r="H223" s="434"/>
      <c r="I223" s="434"/>
      <c r="N223" s="716" t="s">
        <v>258</v>
      </c>
      <c r="O223" s="717" t="s">
        <v>259</v>
      </c>
    </row>
    <row r="224" spans="1:15" ht="15.75" thickBot="1">
      <c r="A224" s="8" t="s">
        <v>268</v>
      </c>
      <c r="L224" s="4" t="s">
        <v>600</v>
      </c>
      <c r="M224" s="735" t="e">
        <f>G222+G223</f>
        <v>#DIV/0!</v>
      </c>
      <c r="N224" s="739" t="s">
        <v>266</v>
      </c>
      <c r="O224" s="740" t="e">
        <f>IF(M224&lt;10,"OK","NOT OK")</f>
        <v>#DIV/0!</v>
      </c>
    </row>
    <row r="226" spans="1:15" ht="15.75">
      <c r="A226" s="1448" t="s">
        <v>257</v>
      </c>
      <c r="B226" s="719"/>
      <c r="M226" s="1"/>
    </row>
    <row r="227" spans="1:15" ht="18">
      <c r="A227" t="s">
        <v>553</v>
      </c>
      <c r="C227" s="46">
        <f>C218</f>
        <v>0</v>
      </c>
      <c r="D227" s="46">
        <f>C227+D218</f>
        <v>0</v>
      </c>
      <c r="E227" s="46">
        <f t="shared" ref="E227:L227" si="87">D227+E218</f>
        <v>0</v>
      </c>
      <c r="F227" s="46">
        <f t="shared" si="87"/>
        <v>0</v>
      </c>
      <c r="G227" s="46">
        <f t="shared" si="87"/>
        <v>0</v>
      </c>
      <c r="H227" s="733">
        <f t="shared" si="87"/>
        <v>0</v>
      </c>
      <c r="I227" s="734">
        <f t="shared" si="87"/>
        <v>0</v>
      </c>
      <c r="J227" s="46">
        <f t="shared" si="87"/>
        <v>0</v>
      </c>
      <c r="K227" s="46">
        <f t="shared" si="87"/>
        <v>0</v>
      </c>
      <c r="L227" s="46">
        <f t="shared" si="87"/>
        <v>0</v>
      </c>
      <c r="M227" s="1"/>
    </row>
    <row r="228" spans="1:15" ht="18.75" thickBot="1">
      <c r="A228" t="s">
        <v>563</v>
      </c>
      <c r="H228" s="710">
        <v>6</v>
      </c>
      <c r="I228" s="720">
        <v>7</v>
      </c>
      <c r="M228" s="1"/>
    </row>
    <row r="229" spans="1:15" ht="15.75" thickBot="1">
      <c r="A229" t="s">
        <v>274</v>
      </c>
      <c r="H229" s="434" t="e">
        <f>-H227/I218</f>
        <v>#DIV/0!</v>
      </c>
      <c r="I229" s="434"/>
      <c r="M229" s="1"/>
      <c r="N229" s="716" t="s">
        <v>258</v>
      </c>
      <c r="O229" s="717" t="s">
        <v>259</v>
      </c>
    </row>
    <row r="230" spans="1:15">
      <c r="A230" s="8" t="s">
        <v>267</v>
      </c>
      <c r="L230" s="4" t="s">
        <v>596</v>
      </c>
      <c r="M230" s="735" t="e">
        <f>H228+H229</f>
        <v>#DIV/0!</v>
      </c>
      <c r="N230" s="517" t="s">
        <v>262</v>
      </c>
      <c r="O230" s="718" t="e">
        <f>IF(M230&lt;10,"OK","NOT OK")</f>
        <v>#DIV/0!</v>
      </c>
    </row>
    <row r="231" spans="1:15">
      <c r="L231" s="4"/>
      <c r="M231" s="1"/>
      <c r="N231" s="712"/>
      <c r="O231" s="487"/>
    </row>
    <row r="232" spans="1:15" ht="15.75">
      <c r="A232" s="1448" t="s">
        <v>269</v>
      </c>
      <c r="B232" s="719"/>
      <c r="L232" s="4" t="s">
        <v>597</v>
      </c>
      <c r="M232" s="747">
        <f>SUM(C218:L218)</f>
        <v>0</v>
      </c>
      <c r="N232" s="712" t="s">
        <v>549</v>
      </c>
      <c r="O232" s="714" t="str">
        <f>IF(M232&gt;0,"OK","NOT OK")</f>
        <v>NOT OK</v>
      </c>
    </row>
    <row r="233" spans="1:15">
      <c r="L233" s="4"/>
      <c r="M233" s="737"/>
      <c r="N233" s="712"/>
      <c r="O233" s="714"/>
    </row>
    <row r="234" spans="1:15" ht="15.75">
      <c r="A234" s="1448" t="s">
        <v>270</v>
      </c>
      <c r="B234" s="719"/>
      <c r="L234" s="4"/>
      <c r="M234" s="1"/>
      <c r="N234" s="712"/>
      <c r="O234" s="711"/>
    </row>
    <row r="235" spans="1:15">
      <c r="A235" t="s">
        <v>291</v>
      </c>
      <c r="L235" s="4" t="s">
        <v>598</v>
      </c>
      <c r="M235" s="746" t="e">
        <f>M232/(-C217)</f>
        <v>#DIV/0!</v>
      </c>
      <c r="N235" s="712" t="s">
        <v>263</v>
      </c>
      <c r="O235" s="714" t="e">
        <f>IF(M235&gt;0,"OK","NOT OK")</f>
        <v>#DIV/0!</v>
      </c>
    </row>
    <row r="236" spans="1:15" ht="15.75">
      <c r="A236" s="1448" t="s">
        <v>271</v>
      </c>
      <c r="B236" s="719"/>
      <c r="L236" s="4"/>
      <c r="M236" s="1"/>
      <c r="N236" s="712"/>
      <c r="O236" s="711"/>
    </row>
    <row r="237" spans="1:15" ht="15.75" thickBot="1">
      <c r="A237" t="s">
        <v>260</v>
      </c>
      <c r="L237" s="4" t="s">
        <v>599</v>
      </c>
      <c r="M237" s="738" t="e">
        <f>IRR(C217:L217)</f>
        <v>#NUM!</v>
      </c>
      <c r="N237" s="713" t="s">
        <v>568</v>
      </c>
      <c r="O237" s="715" t="e">
        <f>IF(M237&gt;4%,"OK","NOT OK")</f>
        <v>#NUM!</v>
      </c>
    </row>
    <row r="238" spans="1:15" ht="15.75" thickBot="1"/>
    <row r="239" spans="1:15" ht="21.75" thickBot="1">
      <c r="A239" s="2040" t="s">
        <v>121</v>
      </c>
      <c r="B239" s="2041"/>
      <c r="C239" s="2041"/>
      <c r="D239" s="2041"/>
      <c r="E239" s="2041"/>
      <c r="F239" s="2041"/>
      <c r="G239" s="2041"/>
      <c r="H239" s="2041"/>
      <c r="I239" s="2041"/>
      <c r="J239" s="2041"/>
      <c r="K239" s="2041"/>
      <c r="L239" s="2041"/>
      <c r="M239" s="2042"/>
    </row>
    <row r="241" spans="1:15" ht="15.75" thickBot="1">
      <c r="A241" s="649" t="s">
        <v>62</v>
      </c>
      <c r="B241" s="24" t="s">
        <v>14</v>
      </c>
      <c r="C241" s="28">
        <v>2025</v>
      </c>
      <c r="D241" s="32">
        <v>2026</v>
      </c>
      <c r="E241" s="22">
        <v>2027</v>
      </c>
      <c r="F241" s="32">
        <v>2028</v>
      </c>
      <c r="G241" s="22">
        <v>2029</v>
      </c>
      <c r="H241" s="32">
        <v>2030</v>
      </c>
      <c r="I241" s="22">
        <v>2031</v>
      </c>
      <c r="J241" s="32">
        <v>2032</v>
      </c>
      <c r="K241" s="22">
        <v>2033</v>
      </c>
      <c r="L241" s="32">
        <v>2034</v>
      </c>
      <c r="M241" s="704" t="s">
        <v>700</v>
      </c>
    </row>
    <row r="242" spans="1:15" ht="15.75" thickBot="1">
      <c r="A242" s="649" t="s">
        <v>592</v>
      </c>
      <c r="B242" s="24" t="s">
        <v>256</v>
      </c>
      <c r="C242" s="28">
        <v>1</v>
      </c>
      <c r="D242" s="32">
        <v>2</v>
      </c>
      <c r="E242" s="32">
        <v>3</v>
      </c>
      <c r="F242" s="32">
        <v>4</v>
      </c>
      <c r="G242" s="32">
        <v>5</v>
      </c>
      <c r="H242" s="32">
        <v>6</v>
      </c>
      <c r="I242" s="32">
        <v>7</v>
      </c>
      <c r="J242" s="32">
        <v>8</v>
      </c>
      <c r="K242" s="32">
        <v>9</v>
      </c>
      <c r="L242" s="32">
        <v>10</v>
      </c>
      <c r="M242" s="704" t="s">
        <v>273</v>
      </c>
    </row>
    <row r="243" spans="1:15" ht="15.75" thickBot="1">
      <c r="A243" s="650" t="s">
        <v>593</v>
      </c>
      <c r="B243" s="647" t="s">
        <v>272</v>
      </c>
      <c r="C243" s="1474">
        <v>0</v>
      </c>
      <c r="D243" s="1475">
        <v>1</v>
      </c>
      <c r="E243" s="1475">
        <v>2</v>
      </c>
      <c r="F243" s="1475">
        <v>3</v>
      </c>
      <c r="G243" s="1475">
        <v>4</v>
      </c>
      <c r="H243" s="1475">
        <v>5</v>
      </c>
      <c r="I243" s="1475">
        <v>6</v>
      </c>
      <c r="J243" s="1475">
        <v>7</v>
      </c>
      <c r="K243" s="1475">
        <v>8</v>
      </c>
      <c r="L243" s="1476">
        <v>9</v>
      </c>
      <c r="M243" s="721" t="s">
        <v>296</v>
      </c>
    </row>
    <row r="244" spans="1:15" ht="15.75" customHeight="1" thickBot="1">
      <c r="A244" s="649" t="s">
        <v>594</v>
      </c>
      <c r="B244" s="24" t="s">
        <v>595</v>
      </c>
      <c r="C244" s="872" t="s">
        <v>429</v>
      </c>
      <c r="D244" s="876" t="s">
        <v>40</v>
      </c>
      <c r="E244" s="876" t="s">
        <v>40</v>
      </c>
      <c r="F244" s="876" t="s">
        <v>40</v>
      </c>
      <c r="G244" s="876" t="s">
        <v>40</v>
      </c>
      <c r="H244" s="876" t="s">
        <v>40</v>
      </c>
      <c r="I244" s="876" t="s">
        <v>40</v>
      </c>
      <c r="J244" s="876" t="s">
        <v>40</v>
      </c>
      <c r="K244" s="876" t="s">
        <v>40</v>
      </c>
      <c r="L244" s="877" t="s">
        <v>40</v>
      </c>
      <c r="M244" s="881" t="s">
        <v>254</v>
      </c>
    </row>
    <row r="245" spans="1:15" ht="15.75" thickBot="1">
      <c r="A245" s="650" t="s">
        <v>309</v>
      </c>
      <c r="B245" s="647" t="s">
        <v>2</v>
      </c>
      <c r="C245" s="687" t="s">
        <v>430</v>
      </c>
      <c r="D245" s="680">
        <v>12</v>
      </c>
      <c r="E245" s="681">
        <v>12</v>
      </c>
      <c r="F245" s="681">
        <v>12</v>
      </c>
      <c r="G245" s="681">
        <v>12</v>
      </c>
      <c r="H245" s="681">
        <v>12</v>
      </c>
      <c r="I245" s="681">
        <v>12</v>
      </c>
      <c r="J245" s="681">
        <v>12</v>
      </c>
      <c r="K245" s="681">
        <v>12</v>
      </c>
      <c r="L245" s="682">
        <v>12</v>
      </c>
      <c r="M245" s="705" t="s">
        <v>34</v>
      </c>
    </row>
    <row r="246" spans="1:15">
      <c r="A246" s="662" t="s">
        <v>282</v>
      </c>
      <c r="B246" s="665" t="s">
        <v>1</v>
      </c>
      <c r="C246" s="741">
        <f t="shared" ref="C246:L246" si="88">C47</f>
        <v>13934208</v>
      </c>
      <c r="D246" s="742">
        <f t="shared" si="88"/>
        <v>0</v>
      </c>
      <c r="E246" s="742">
        <f t="shared" si="88"/>
        <v>0</v>
      </c>
      <c r="F246" s="742">
        <f t="shared" si="88"/>
        <v>0</v>
      </c>
      <c r="G246" s="742">
        <f t="shared" si="88"/>
        <v>0</v>
      </c>
      <c r="H246" s="742">
        <f t="shared" si="88"/>
        <v>0</v>
      </c>
      <c r="I246" s="742">
        <f t="shared" si="88"/>
        <v>0</v>
      </c>
      <c r="J246" s="742">
        <f t="shared" si="88"/>
        <v>0</v>
      </c>
      <c r="K246" s="742">
        <f t="shared" si="88"/>
        <v>0</v>
      </c>
      <c r="L246" s="743">
        <f t="shared" si="88"/>
        <v>0</v>
      </c>
      <c r="M246" s="670">
        <f t="shared" ref="M246:M251" si="89">SUM(C246:L246)</f>
        <v>13934208</v>
      </c>
    </row>
    <row r="247" spans="1:15">
      <c r="A247" s="662" t="s">
        <v>283</v>
      </c>
      <c r="B247" s="665" t="s">
        <v>1</v>
      </c>
      <c r="C247" s="744">
        <f t="shared" ref="C247:L247" si="90">C46</f>
        <v>1408863.2064166665</v>
      </c>
      <c r="D247" s="744">
        <f t="shared" si="90"/>
        <v>14571455.500958333</v>
      </c>
      <c r="E247" s="744">
        <f t="shared" si="90"/>
        <v>14907220.548617916</v>
      </c>
      <c r="F247" s="744">
        <f t="shared" si="90"/>
        <v>15251324.401079074</v>
      </c>
      <c r="G247" s="744">
        <f t="shared" si="90"/>
        <v>15603982.904011065</v>
      </c>
      <c r="H247" s="744">
        <f t="shared" si="90"/>
        <v>15965423.866318533</v>
      </c>
      <c r="I247" s="744">
        <f t="shared" si="90"/>
        <v>16336779.03791292</v>
      </c>
      <c r="J247" s="744">
        <f t="shared" si="90"/>
        <v>16717123.763625752</v>
      </c>
      <c r="K247" s="744">
        <f t="shared" si="90"/>
        <v>17106686.245490126</v>
      </c>
      <c r="L247" s="744">
        <f t="shared" si="90"/>
        <v>17505700.705282621</v>
      </c>
      <c r="M247" s="670">
        <f t="shared" si="89"/>
        <v>145374560.17971301</v>
      </c>
    </row>
    <row r="248" spans="1:15">
      <c r="A248" s="662" t="s">
        <v>343</v>
      </c>
      <c r="B248" s="665" t="s">
        <v>1</v>
      </c>
      <c r="C248" s="744">
        <f t="shared" ref="C248:L248" si="91">-C136</f>
        <v>0</v>
      </c>
      <c r="D248" s="744">
        <f t="shared" si="91"/>
        <v>0</v>
      </c>
      <c r="E248" s="744">
        <f t="shared" si="91"/>
        <v>0</v>
      </c>
      <c r="F248" s="744">
        <f t="shared" si="91"/>
        <v>0</v>
      </c>
      <c r="G248" s="744">
        <f t="shared" si="91"/>
        <v>0</v>
      </c>
      <c r="H248" s="744">
        <f t="shared" si="91"/>
        <v>0</v>
      </c>
      <c r="I248" s="744">
        <f t="shared" si="91"/>
        <v>0</v>
      </c>
      <c r="J248" s="744">
        <f t="shared" si="91"/>
        <v>0</v>
      </c>
      <c r="K248" s="744">
        <f t="shared" si="91"/>
        <v>0</v>
      </c>
      <c r="L248" s="744">
        <f t="shared" si="91"/>
        <v>0</v>
      </c>
      <c r="M248" s="670">
        <f t="shared" si="89"/>
        <v>0</v>
      </c>
    </row>
    <row r="249" spans="1:15" ht="15.75" thickBot="1">
      <c r="A249" s="663" t="s">
        <v>284</v>
      </c>
      <c r="B249" s="666" t="s">
        <v>1</v>
      </c>
      <c r="C249" s="745">
        <f>'Provozní výnosy'!D25</f>
        <v>562479.16666666663</v>
      </c>
      <c r="D249" s="745">
        <f t="shared" ref="D249:L249" si="92">D45</f>
        <v>14849450</v>
      </c>
      <c r="E249" s="745">
        <f t="shared" si="92"/>
        <v>16199400</v>
      </c>
      <c r="F249" s="745">
        <f t="shared" si="92"/>
        <v>17549350</v>
      </c>
      <c r="G249" s="745">
        <f t="shared" si="92"/>
        <v>18899300</v>
      </c>
      <c r="H249" s="745">
        <f t="shared" si="92"/>
        <v>20249250</v>
      </c>
      <c r="I249" s="745">
        <f t="shared" si="92"/>
        <v>20654235</v>
      </c>
      <c r="J249" s="745">
        <f t="shared" si="92"/>
        <v>21067319.699999999</v>
      </c>
      <c r="K249" s="745">
        <f t="shared" si="92"/>
        <v>21488666.094000001</v>
      </c>
      <c r="L249" s="745">
        <f t="shared" si="92"/>
        <v>21918439.415880002</v>
      </c>
      <c r="M249" s="671">
        <f t="shared" si="89"/>
        <v>173437889.37654665</v>
      </c>
    </row>
    <row r="250" spans="1:15" ht="15.75" thickBot="1">
      <c r="A250" s="654" t="s">
        <v>294</v>
      </c>
      <c r="B250" s="707" t="s">
        <v>1</v>
      </c>
      <c r="C250" s="708">
        <f>-C246+-C247+-C248+C249</f>
        <v>-14780592.03975</v>
      </c>
      <c r="D250" s="708">
        <f t="shared" ref="D250:L250" si="93">-D246+-D247+-D248+D249</f>
        <v>277994.49904166721</v>
      </c>
      <c r="E250" s="708">
        <f t="shared" si="93"/>
        <v>1292179.4513820838</v>
      </c>
      <c r="F250" s="708">
        <f t="shared" si="93"/>
        <v>2298025.5989209265</v>
      </c>
      <c r="G250" s="708">
        <f t="shared" si="93"/>
        <v>3295317.0959889349</v>
      </c>
      <c r="H250" s="708">
        <f t="shared" si="93"/>
        <v>4283826.1336814668</v>
      </c>
      <c r="I250" s="708">
        <f t="shared" si="93"/>
        <v>4317455.9620870799</v>
      </c>
      <c r="J250" s="708">
        <f t="shared" si="93"/>
        <v>4350195.9363742471</v>
      </c>
      <c r="K250" s="708">
        <f t="shared" si="93"/>
        <v>4381979.8485098742</v>
      </c>
      <c r="L250" s="708">
        <f t="shared" si="93"/>
        <v>4412738.710597381</v>
      </c>
      <c r="M250" s="709">
        <f t="shared" si="89"/>
        <v>14129121.196833661</v>
      </c>
      <c r="O250" s="46"/>
    </row>
    <row r="251" spans="1:15" ht="15.75" customHeight="1" thickBot="1">
      <c r="A251" s="729" t="s">
        <v>295</v>
      </c>
      <c r="B251" s="730" t="s">
        <v>1</v>
      </c>
      <c r="C251" s="731">
        <f>C250/(1+$B$20)^C243</f>
        <v>-14780592.03975</v>
      </c>
      <c r="D251" s="731">
        <f t="shared" ref="D251" si="94">D250/(1+$B$20)^D243</f>
        <v>267302.40292467998</v>
      </c>
      <c r="E251" s="731">
        <f t="shared" ref="E251" si="95">E250/(1+$B$20)^E243</f>
        <v>1194692.540109175</v>
      </c>
      <c r="F251" s="731">
        <f t="shared" ref="F251" si="96">F250/(1+$B$20)^F243</f>
        <v>2042936.3895732518</v>
      </c>
      <c r="G251" s="731">
        <f t="shared" ref="G251" si="97">G250/(1+$B$20)^G243</f>
        <v>2816850.8644232466</v>
      </c>
      <c r="H251" s="731">
        <f t="shared" ref="H251" si="98">H250/(1+$B$20)^H243</f>
        <v>3520992.8199169072</v>
      </c>
      <c r="I251" s="731">
        <f t="shared" ref="I251" si="99">I250/(1+$B$20)^I243</f>
        <v>3412148.1610376406</v>
      </c>
      <c r="J251" s="731">
        <f t="shared" ref="J251" si="100">J250/(1+$B$20)^J243</f>
        <v>3305791.3829700197</v>
      </c>
      <c r="K251" s="731">
        <f t="shared" ref="K251" si="101">K250/(1+$B$20)^K243</f>
        <v>3201869.7538222419</v>
      </c>
      <c r="L251" s="731">
        <f t="shared" ref="L251" si="102">L250/(1+$B$20)^L243</f>
        <v>3100331.6856409516</v>
      </c>
      <c r="M251" s="731">
        <f t="shared" si="89"/>
        <v>8082323.9606681131</v>
      </c>
    </row>
    <row r="253" spans="1:15" ht="16.5" thickBot="1">
      <c r="A253" s="1448" t="s">
        <v>265</v>
      </c>
      <c r="B253" s="719"/>
    </row>
    <row r="254" spans="1:15" ht="18.75" thickBot="1">
      <c r="A254" s="1465" t="s">
        <v>584</v>
      </c>
      <c r="C254" s="1466">
        <f>C250</f>
        <v>-14780592.03975</v>
      </c>
      <c r="D254" s="1467">
        <f>C254+D250</f>
        <v>-14502597.540708333</v>
      </c>
      <c r="E254" s="1467">
        <f>D254+E250</f>
        <v>-13210418.089326249</v>
      </c>
      <c r="F254" s="1467">
        <f t="shared" ref="F254:L254" si="103">E254+F250</f>
        <v>-10912392.490405323</v>
      </c>
      <c r="G254" s="1467">
        <f t="shared" si="103"/>
        <v>-7617075.3944163881</v>
      </c>
      <c r="H254" s="1468">
        <f t="shared" si="103"/>
        <v>-3333249.2607349213</v>
      </c>
      <c r="I254" s="1469">
        <f t="shared" si="103"/>
        <v>984206.70135215856</v>
      </c>
      <c r="J254" s="1467">
        <f t="shared" si="103"/>
        <v>5334402.6377264056</v>
      </c>
      <c r="K254" s="1467">
        <f t="shared" si="103"/>
        <v>9716382.4862362798</v>
      </c>
      <c r="L254" s="1470">
        <f t="shared" si="103"/>
        <v>14129121.196833661</v>
      </c>
      <c r="M254" s="46"/>
    </row>
    <row r="255" spans="1:15" ht="18.75" thickBot="1">
      <c r="A255" s="1613" t="s">
        <v>646</v>
      </c>
      <c r="G255" s="46"/>
      <c r="H255" s="710">
        <v>6</v>
      </c>
      <c r="I255" s="720">
        <v>7</v>
      </c>
    </row>
    <row r="256" spans="1:15" ht="15.75" thickBot="1">
      <c r="A256" t="s">
        <v>261</v>
      </c>
      <c r="G256" s="434"/>
      <c r="H256" s="434">
        <f>-H254/I250</f>
        <v>0.77204012965163216</v>
      </c>
      <c r="I256" s="434"/>
      <c r="K256" t="s">
        <v>163</v>
      </c>
      <c r="N256" s="716" t="s">
        <v>258</v>
      </c>
      <c r="O256" s="717" t="s">
        <v>259</v>
      </c>
    </row>
    <row r="257" spans="1:15" ht="15.75" thickBot="1">
      <c r="A257" s="8" t="s">
        <v>268</v>
      </c>
      <c r="L257" s="1597" t="s">
        <v>600</v>
      </c>
      <c r="M257" s="735">
        <f>H255+H256</f>
        <v>6.7720401296516322</v>
      </c>
      <c r="N257" s="739" t="s">
        <v>590</v>
      </c>
      <c r="O257" s="740" t="str">
        <f>IF(M257&lt;10,"OK","NOT OK")</f>
        <v>OK</v>
      </c>
    </row>
    <row r="258" spans="1:15">
      <c r="M258" s="736"/>
    </row>
    <row r="259" spans="1:15" ht="16.5" thickBot="1">
      <c r="A259" s="1448" t="s">
        <v>257</v>
      </c>
      <c r="B259" s="719"/>
      <c r="M259" s="1"/>
    </row>
    <row r="260" spans="1:15" ht="18.75" thickBot="1">
      <c r="A260" s="1471" t="s">
        <v>585</v>
      </c>
      <c r="B260" s="1472"/>
      <c r="C260" s="1466">
        <f>C251</f>
        <v>-14780592.03975</v>
      </c>
      <c r="D260" s="1467">
        <f>C260+D251</f>
        <v>-14513289.636825321</v>
      </c>
      <c r="E260" s="1467">
        <f t="shared" ref="E260:L260" si="104">D260+E251</f>
        <v>-13318597.096716147</v>
      </c>
      <c r="F260" s="1467">
        <f t="shared" si="104"/>
        <v>-11275660.707142895</v>
      </c>
      <c r="G260" s="1467">
        <f t="shared" si="104"/>
        <v>-8458809.842719648</v>
      </c>
      <c r="H260" s="1467">
        <f t="shared" si="104"/>
        <v>-4937817.0228027403</v>
      </c>
      <c r="I260" s="1468">
        <f t="shared" si="104"/>
        <v>-1525668.8617650997</v>
      </c>
      <c r="J260" s="1469">
        <f t="shared" si="104"/>
        <v>1780122.52120492</v>
      </c>
      <c r="K260" s="1467">
        <f t="shared" si="104"/>
        <v>4981992.2750271615</v>
      </c>
      <c r="L260" s="1470">
        <f t="shared" si="104"/>
        <v>8082323.9606681131</v>
      </c>
      <c r="M260" s="1"/>
    </row>
    <row r="261" spans="1:15" ht="18.75" thickBot="1">
      <c r="A261" t="s">
        <v>563</v>
      </c>
      <c r="I261" s="710">
        <v>7</v>
      </c>
      <c r="J261" s="720">
        <v>8</v>
      </c>
      <c r="M261" s="1"/>
    </row>
    <row r="262" spans="1:15" ht="15.75" thickBot="1">
      <c r="A262" t="s">
        <v>274</v>
      </c>
      <c r="I262" s="434">
        <f>-I260/J251</f>
        <v>0.46151395687721652</v>
      </c>
      <c r="M262" s="1"/>
      <c r="N262" s="716" t="s">
        <v>258</v>
      </c>
      <c r="O262" s="717" t="s">
        <v>259</v>
      </c>
    </row>
    <row r="263" spans="1:15">
      <c r="A263" s="8" t="s">
        <v>267</v>
      </c>
      <c r="L263" s="1597" t="s">
        <v>596</v>
      </c>
      <c r="M263" s="735">
        <f>I261+I262</f>
        <v>7.4615139568772166</v>
      </c>
      <c r="N263" s="517" t="s">
        <v>570</v>
      </c>
      <c r="O263" s="718" t="str">
        <f>IF(M263&lt;10,"OK","NOT OK")</f>
        <v>OK</v>
      </c>
    </row>
    <row r="264" spans="1:15">
      <c r="L264" s="4"/>
      <c r="M264" s="1"/>
      <c r="N264" s="712"/>
      <c r="O264" s="487"/>
    </row>
    <row r="265" spans="1:15" ht="15.75">
      <c r="A265" s="1448" t="s">
        <v>269</v>
      </c>
      <c r="B265" s="719"/>
      <c r="L265" s="1597" t="s">
        <v>597</v>
      </c>
      <c r="M265" s="747">
        <f>SUM(C251:L251)</f>
        <v>8082323.9606681131</v>
      </c>
      <c r="N265" s="712" t="s">
        <v>549</v>
      </c>
      <c r="O265" s="714" t="str">
        <f>IF(M265&gt;0,"OK","NOT OK")</f>
        <v>OK</v>
      </c>
    </row>
    <row r="266" spans="1:15">
      <c r="L266" s="4"/>
      <c r="M266" s="737"/>
      <c r="N266" s="712"/>
      <c r="O266" s="714"/>
    </row>
    <row r="267" spans="1:15" ht="15.75">
      <c r="A267" s="1448" t="s">
        <v>270</v>
      </c>
      <c r="B267" s="719"/>
      <c r="L267" s="4"/>
      <c r="M267" s="1"/>
      <c r="N267" s="712"/>
      <c r="O267" s="711"/>
    </row>
    <row r="268" spans="1:15">
      <c r="A268" t="s">
        <v>291</v>
      </c>
      <c r="L268" s="1597" t="s">
        <v>598</v>
      </c>
      <c r="M268" s="746">
        <f>M265/(C246)</f>
        <v>0.58003468590881613</v>
      </c>
      <c r="N268" s="712" t="s">
        <v>567</v>
      </c>
      <c r="O268" s="714" t="str">
        <f>IF(M268&gt;1,"OK","NOT OK")</f>
        <v>NOT OK</v>
      </c>
    </row>
    <row r="269" spans="1:15" ht="16.5" thickBot="1">
      <c r="A269" s="1448" t="s">
        <v>271</v>
      </c>
      <c r="B269" s="719"/>
      <c r="L269" s="4"/>
      <c r="M269" s="1"/>
      <c r="N269" s="712"/>
      <c r="O269" s="711"/>
    </row>
    <row r="270" spans="1:15" ht="15.75" thickBot="1">
      <c r="A270" t="s">
        <v>260</v>
      </c>
      <c r="L270" s="1597" t="s">
        <v>599</v>
      </c>
      <c r="M270" s="738">
        <f>IRR(C250:L250)</f>
        <v>0.12237183659292583</v>
      </c>
      <c r="N270" s="1454" t="s">
        <v>569</v>
      </c>
      <c r="O270" s="1067" t="str">
        <f>IF(M270&gt;4%,"OK dolní hranice","NOT OK dolní hranice")</f>
        <v>OK dolní hranice</v>
      </c>
    </row>
    <row r="271" spans="1:15" ht="15.75" thickBot="1">
      <c r="O271" s="1067" t="str">
        <f>IF(M270&lt;15%,"OK horní hranice","NOT OK horní hranice")</f>
        <v>OK horní hranice</v>
      </c>
    </row>
    <row r="272" spans="1:15" ht="21.75" thickBot="1">
      <c r="A272" s="2054" t="s">
        <v>25</v>
      </c>
      <c r="B272" s="2047"/>
      <c r="C272" s="2047"/>
      <c r="D272" s="2047"/>
      <c r="E272" s="2047"/>
      <c r="F272" s="2047"/>
      <c r="G272" s="2047"/>
      <c r="H272" s="2047"/>
      <c r="I272" s="2047"/>
      <c r="J272" s="2047"/>
      <c r="K272" s="2047"/>
      <c r="L272" s="2047"/>
      <c r="M272" s="2048"/>
    </row>
    <row r="274" spans="1:13" ht="15.75" thickBot="1">
      <c r="A274" s="649" t="s">
        <v>62</v>
      </c>
      <c r="B274" s="24" t="s">
        <v>14</v>
      </c>
      <c r="C274" s="28">
        <v>2025</v>
      </c>
      <c r="D274" s="32">
        <v>2026</v>
      </c>
      <c r="E274" s="22">
        <v>2027</v>
      </c>
      <c r="F274" s="32">
        <v>2028</v>
      </c>
      <c r="G274" s="22">
        <v>2029</v>
      </c>
      <c r="H274" s="32">
        <v>2030</v>
      </c>
      <c r="I274" s="22">
        <v>2031</v>
      </c>
      <c r="J274" s="32">
        <v>2032</v>
      </c>
      <c r="K274" s="22">
        <v>2033</v>
      </c>
      <c r="L274" s="32">
        <v>2034</v>
      </c>
      <c r="M274" s="704" t="s">
        <v>700</v>
      </c>
    </row>
    <row r="275" spans="1:13" ht="15.75" thickBot="1">
      <c r="A275" s="649" t="s">
        <v>592</v>
      </c>
      <c r="B275" s="24" t="s">
        <v>256</v>
      </c>
      <c r="C275" s="28">
        <v>1</v>
      </c>
      <c r="D275" s="32">
        <v>2</v>
      </c>
      <c r="E275" s="32">
        <v>3</v>
      </c>
      <c r="F275" s="32">
        <v>4</v>
      </c>
      <c r="G275" s="32">
        <v>5</v>
      </c>
      <c r="H275" s="32">
        <v>6</v>
      </c>
      <c r="I275" s="32">
        <v>7</v>
      </c>
      <c r="J275" s="32">
        <v>8</v>
      </c>
      <c r="K275" s="32">
        <v>9</v>
      </c>
      <c r="L275" s="32">
        <v>10</v>
      </c>
      <c r="M275" s="704" t="s">
        <v>273</v>
      </c>
    </row>
    <row r="276" spans="1:13" ht="15.75" thickBot="1">
      <c r="A276" s="650" t="s">
        <v>593</v>
      </c>
      <c r="B276" s="647" t="s">
        <v>272</v>
      </c>
      <c r="C276" s="1474">
        <v>0</v>
      </c>
      <c r="D276" s="1475">
        <v>1</v>
      </c>
      <c r="E276" s="1475">
        <v>2</v>
      </c>
      <c r="F276" s="1475">
        <v>3</v>
      </c>
      <c r="G276" s="1475">
        <v>4</v>
      </c>
      <c r="H276" s="1475">
        <v>5</v>
      </c>
      <c r="I276" s="1475">
        <v>6</v>
      </c>
      <c r="J276" s="1475">
        <v>7</v>
      </c>
      <c r="K276" s="1475">
        <v>8</v>
      </c>
      <c r="L276" s="1476">
        <v>9</v>
      </c>
      <c r="M276" s="721" t="s">
        <v>296</v>
      </c>
    </row>
    <row r="277" spans="1:13" ht="15.75" thickBot="1">
      <c r="A277" s="649" t="s">
        <v>594</v>
      </c>
      <c r="B277" s="24" t="s">
        <v>595</v>
      </c>
      <c r="C277" s="872" t="s">
        <v>429</v>
      </c>
      <c r="D277" s="876" t="s">
        <v>40</v>
      </c>
      <c r="E277" s="876" t="s">
        <v>40</v>
      </c>
      <c r="F277" s="876" t="s">
        <v>40</v>
      </c>
      <c r="G277" s="876" t="s">
        <v>40</v>
      </c>
      <c r="H277" s="876" t="s">
        <v>40</v>
      </c>
      <c r="I277" s="876" t="s">
        <v>40</v>
      </c>
      <c r="J277" s="876" t="s">
        <v>40</v>
      </c>
      <c r="K277" s="876" t="s">
        <v>40</v>
      </c>
      <c r="L277" s="877" t="s">
        <v>40</v>
      </c>
      <c r="M277" s="881" t="s">
        <v>254</v>
      </c>
    </row>
    <row r="278" spans="1:13" ht="15.75" thickBot="1">
      <c r="A278" s="650" t="s">
        <v>309</v>
      </c>
      <c r="B278" s="647" t="s">
        <v>2</v>
      </c>
      <c r="C278" s="1637" t="s">
        <v>430</v>
      </c>
      <c r="D278" s="680">
        <v>12</v>
      </c>
      <c r="E278" s="681">
        <v>12</v>
      </c>
      <c r="F278" s="681">
        <v>12</v>
      </c>
      <c r="G278" s="681">
        <v>12</v>
      </c>
      <c r="H278" s="681">
        <v>12</v>
      </c>
      <c r="I278" s="681">
        <v>12</v>
      </c>
      <c r="J278" s="681">
        <v>12</v>
      </c>
      <c r="K278" s="681">
        <v>12</v>
      </c>
      <c r="L278" s="682">
        <v>12</v>
      </c>
      <c r="M278" s="705" t="s">
        <v>34</v>
      </c>
    </row>
    <row r="279" spans="1:13" ht="15.75" thickBot="1">
      <c r="A279" s="662" t="s">
        <v>282</v>
      </c>
      <c r="B279" s="1635" t="s">
        <v>1</v>
      </c>
      <c r="C279" s="1639">
        <f t="shared" ref="C279:L279" si="105">C76</f>
        <v>13934208</v>
      </c>
      <c r="D279" s="1636">
        <f t="shared" si="105"/>
        <v>0</v>
      </c>
      <c r="E279" s="741">
        <f t="shared" si="105"/>
        <v>0</v>
      </c>
      <c r="F279" s="741">
        <f t="shared" si="105"/>
        <v>0</v>
      </c>
      <c r="G279" s="741">
        <f t="shared" si="105"/>
        <v>0</v>
      </c>
      <c r="H279" s="741">
        <f t="shared" si="105"/>
        <v>0</v>
      </c>
      <c r="I279" s="741">
        <f t="shared" si="105"/>
        <v>0</v>
      </c>
      <c r="J279" s="741">
        <f t="shared" si="105"/>
        <v>0</v>
      </c>
      <c r="K279" s="741">
        <f t="shared" si="105"/>
        <v>0</v>
      </c>
      <c r="L279" s="741">
        <f t="shared" si="105"/>
        <v>0</v>
      </c>
      <c r="M279" s="670">
        <f t="shared" ref="M279:M284" si="106">SUM(C279:L279)</f>
        <v>13934208</v>
      </c>
    </row>
    <row r="280" spans="1:13">
      <c r="A280" s="662" t="s">
        <v>283</v>
      </c>
      <c r="B280" s="665" t="s">
        <v>1</v>
      </c>
      <c r="C280" s="1638">
        <f t="shared" ref="C280:L280" si="107">C75</f>
        <v>1408863.2064166665</v>
      </c>
      <c r="D280" s="744">
        <f t="shared" si="107"/>
        <v>14571455.500958333</v>
      </c>
      <c r="E280" s="744">
        <f t="shared" si="107"/>
        <v>14907220.548617916</v>
      </c>
      <c r="F280" s="744">
        <f t="shared" si="107"/>
        <v>15251324.401079074</v>
      </c>
      <c r="G280" s="744">
        <f t="shared" si="107"/>
        <v>15603982.904011065</v>
      </c>
      <c r="H280" s="744">
        <f t="shared" si="107"/>
        <v>15965423.866318533</v>
      </c>
      <c r="I280" s="744">
        <f t="shared" si="107"/>
        <v>16336779.03791292</v>
      </c>
      <c r="J280" s="744">
        <f t="shared" si="107"/>
        <v>16717123.763625752</v>
      </c>
      <c r="K280" s="744">
        <f t="shared" si="107"/>
        <v>17106686.245490126</v>
      </c>
      <c r="L280" s="744">
        <f t="shared" si="107"/>
        <v>17505700.705282621</v>
      </c>
      <c r="M280" s="670">
        <f t="shared" si="106"/>
        <v>145374560.17971301</v>
      </c>
    </row>
    <row r="281" spans="1:13">
      <c r="A281" s="662" t="s">
        <v>343</v>
      </c>
      <c r="B281" s="665" t="s">
        <v>1</v>
      </c>
      <c r="C281" s="744">
        <f t="shared" ref="C281:L281" si="108">-C163</f>
        <v>0</v>
      </c>
      <c r="D281" s="744">
        <f t="shared" si="108"/>
        <v>0</v>
      </c>
      <c r="E281" s="744">
        <f t="shared" si="108"/>
        <v>0</v>
      </c>
      <c r="F281" s="744">
        <f t="shared" si="108"/>
        <v>0</v>
      </c>
      <c r="G281" s="744">
        <f t="shared" si="108"/>
        <v>0</v>
      </c>
      <c r="H281" s="744">
        <f t="shared" si="108"/>
        <v>0</v>
      </c>
      <c r="I281" s="744">
        <f t="shared" si="108"/>
        <v>0</v>
      </c>
      <c r="J281" s="744">
        <f t="shared" si="108"/>
        <v>0</v>
      </c>
      <c r="K281" s="744">
        <f t="shared" si="108"/>
        <v>0</v>
      </c>
      <c r="L281" s="744">
        <f t="shared" si="108"/>
        <v>0</v>
      </c>
      <c r="M281" s="670">
        <f t="shared" si="106"/>
        <v>0</v>
      </c>
    </row>
    <row r="282" spans="1:13" ht="15.75" thickBot="1">
      <c r="A282" s="663" t="s">
        <v>284</v>
      </c>
      <c r="B282" s="666" t="s">
        <v>1</v>
      </c>
      <c r="C282" s="745">
        <f>C74-'Provozní výnosy'!D45</f>
        <v>562479.16666666663</v>
      </c>
      <c r="D282" s="745">
        <f t="shared" ref="D282:L282" si="109">D74</f>
        <v>14849450</v>
      </c>
      <c r="E282" s="745">
        <f t="shared" si="109"/>
        <v>16199400</v>
      </c>
      <c r="F282" s="745">
        <f t="shared" si="109"/>
        <v>17549350</v>
      </c>
      <c r="G282" s="745">
        <f t="shared" si="109"/>
        <v>18899300</v>
      </c>
      <c r="H282" s="745">
        <f t="shared" si="109"/>
        <v>20249250</v>
      </c>
      <c r="I282" s="745">
        <f t="shared" si="109"/>
        <v>20654235</v>
      </c>
      <c r="J282" s="745">
        <f t="shared" si="109"/>
        <v>21067319.699999999</v>
      </c>
      <c r="K282" s="745">
        <f t="shared" si="109"/>
        <v>21488666.094000001</v>
      </c>
      <c r="L282" s="745">
        <f t="shared" si="109"/>
        <v>21918439.415880002</v>
      </c>
      <c r="M282" s="671">
        <f t="shared" si="106"/>
        <v>173437889.37654665</v>
      </c>
    </row>
    <row r="283" spans="1:13" ht="15.75" thickBot="1">
      <c r="A283" s="654" t="s">
        <v>294</v>
      </c>
      <c r="B283" s="707" t="s">
        <v>1</v>
      </c>
      <c r="C283" s="708">
        <f>-C279+-C280+-C281+C282</f>
        <v>-14780592.03975</v>
      </c>
      <c r="D283" s="708">
        <f t="shared" ref="D283:L283" si="110">-D279+-D280+-D281+D282</f>
        <v>277994.49904166721</v>
      </c>
      <c r="E283" s="708">
        <f t="shared" si="110"/>
        <v>1292179.4513820838</v>
      </c>
      <c r="F283" s="708">
        <f t="shared" si="110"/>
        <v>2298025.5989209265</v>
      </c>
      <c r="G283" s="708">
        <f t="shared" si="110"/>
        <v>3295317.0959889349</v>
      </c>
      <c r="H283" s="708">
        <f t="shared" si="110"/>
        <v>4283826.1336814668</v>
      </c>
      <c r="I283" s="708">
        <f t="shared" si="110"/>
        <v>4317455.9620870799</v>
      </c>
      <c r="J283" s="708">
        <f t="shared" si="110"/>
        <v>4350195.9363742471</v>
      </c>
      <c r="K283" s="708">
        <f t="shared" si="110"/>
        <v>4381979.8485098742</v>
      </c>
      <c r="L283" s="708">
        <f t="shared" si="110"/>
        <v>4412738.710597381</v>
      </c>
      <c r="M283" s="709">
        <f t="shared" si="106"/>
        <v>14129121.196833661</v>
      </c>
    </row>
    <row r="284" spans="1:13" ht="21" customHeight="1" thickBot="1">
      <c r="A284" s="729" t="s">
        <v>295</v>
      </c>
      <c r="B284" s="730" t="s">
        <v>1</v>
      </c>
      <c r="C284" s="731">
        <f>C283/(1+$B$20)^C276</f>
        <v>-14780592.03975</v>
      </c>
      <c r="D284" s="731">
        <f t="shared" ref="D284" si="111">D283/(1+$B$20)^D276</f>
        <v>267302.40292467998</v>
      </c>
      <c r="E284" s="731">
        <f t="shared" ref="E284" si="112">E283/(1+$B$20)^E276</f>
        <v>1194692.540109175</v>
      </c>
      <c r="F284" s="731">
        <f t="shared" ref="F284" si="113">F283/(1+$B$20)^F276</f>
        <v>2042936.3895732518</v>
      </c>
      <c r="G284" s="731">
        <f t="shared" ref="G284" si="114">G283/(1+$B$20)^G276</f>
        <v>2816850.8644232466</v>
      </c>
      <c r="H284" s="731">
        <f t="shared" ref="H284" si="115">H283/(1+$B$20)^H276</f>
        <v>3520992.8199169072</v>
      </c>
      <c r="I284" s="731">
        <f t="shared" ref="I284" si="116">I283/(1+$B$20)^I276</f>
        <v>3412148.1610376406</v>
      </c>
      <c r="J284" s="731">
        <f t="shared" ref="J284" si="117">J283/(1+$B$20)^J276</f>
        <v>3305791.3829700197</v>
      </c>
      <c r="K284" s="731">
        <f t="shared" ref="K284" si="118">K283/(1+$B$20)^K276</f>
        <v>3201869.7538222419</v>
      </c>
      <c r="L284" s="731">
        <f t="shared" ref="L284" si="119">L283/(1+$B$20)^L276</f>
        <v>3100331.6856409516</v>
      </c>
      <c r="M284" s="731">
        <f t="shared" si="106"/>
        <v>8082323.9606681131</v>
      </c>
    </row>
    <row r="286" spans="1:13" ht="16.5" thickBot="1">
      <c r="A286" s="1448" t="s">
        <v>265</v>
      </c>
      <c r="B286" s="719"/>
    </row>
    <row r="287" spans="1:13" ht="19.5" thickTop="1" thickBot="1">
      <c r="A287" s="1439" t="s">
        <v>552</v>
      </c>
      <c r="B287" s="1440"/>
      <c r="C287" s="1441">
        <f>C283</f>
        <v>-14780592.03975</v>
      </c>
      <c r="D287" s="1441">
        <f>C287+D283</f>
        <v>-14502597.540708333</v>
      </c>
      <c r="E287" s="1441">
        <f>D287+E283</f>
        <v>-13210418.089326249</v>
      </c>
      <c r="F287" s="1441">
        <f t="shared" ref="F287:L287" si="120">E287+F283</f>
        <v>-10912392.490405323</v>
      </c>
      <c r="G287" s="1441">
        <f t="shared" si="120"/>
        <v>-7617075.3944163881</v>
      </c>
      <c r="H287" s="1442">
        <f t="shared" si="120"/>
        <v>-3333249.2607349213</v>
      </c>
      <c r="I287" s="1443">
        <f t="shared" si="120"/>
        <v>984206.70135215856</v>
      </c>
      <c r="J287" s="1441">
        <f t="shared" si="120"/>
        <v>5334402.6377264056</v>
      </c>
      <c r="K287" s="1441">
        <f t="shared" si="120"/>
        <v>9716382.4862362798</v>
      </c>
      <c r="L287" s="1444">
        <f t="shared" si="120"/>
        <v>14129121.196833661</v>
      </c>
      <c r="M287" s="46"/>
    </row>
    <row r="288" spans="1:13" ht="19.5" thickTop="1" thickBot="1">
      <c r="A288" t="s">
        <v>563</v>
      </c>
      <c r="G288" s="46"/>
      <c r="H288" s="710">
        <v>6</v>
      </c>
      <c r="I288" s="720">
        <v>7</v>
      </c>
    </row>
    <row r="289" spans="1:17" ht="15.75" thickBot="1">
      <c r="A289" t="s">
        <v>261</v>
      </c>
      <c r="G289" s="434"/>
      <c r="H289" s="882">
        <f>-H287/I283</f>
        <v>0.77204012965163216</v>
      </c>
      <c r="I289" s="434"/>
      <c r="K289" t="s">
        <v>163</v>
      </c>
      <c r="N289" s="716" t="s">
        <v>258</v>
      </c>
      <c r="O289" s="717" t="s">
        <v>259</v>
      </c>
    </row>
    <row r="290" spans="1:17" ht="16.5" thickTop="1" thickBot="1">
      <c r="A290" s="8" t="s">
        <v>268</v>
      </c>
      <c r="M290" s="1445">
        <f>H288+H289</f>
        <v>6.7720401296516322</v>
      </c>
      <c r="N290" s="1455" t="s">
        <v>570</v>
      </c>
      <c r="O290" s="740" t="str">
        <f>IF(M290&lt;10,"OK","NOT OK")</f>
        <v>OK</v>
      </c>
    </row>
    <row r="291" spans="1:17" ht="15.75" thickTop="1">
      <c r="M291" s="736"/>
    </row>
    <row r="292" spans="1:17" ht="19.5" thickBot="1">
      <c r="A292" s="1596" t="s">
        <v>589</v>
      </c>
      <c r="B292" s="719"/>
      <c r="M292" s="1"/>
    </row>
    <row r="293" spans="1:17" ht="19.5" thickTop="1" thickBot="1">
      <c r="A293" s="1439" t="s">
        <v>553</v>
      </c>
      <c r="B293" s="1440"/>
      <c r="C293" s="1441">
        <f>C284</f>
        <v>-14780592.03975</v>
      </c>
      <c r="D293" s="1441">
        <f>C293+D284</f>
        <v>-14513289.636825321</v>
      </c>
      <c r="E293" s="1441">
        <f t="shared" ref="E293:L293" si="121">D293+E284</f>
        <v>-13318597.096716147</v>
      </c>
      <c r="F293" s="1441">
        <f t="shared" si="121"/>
        <v>-11275660.707142895</v>
      </c>
      <c r="G293" s="1441">
        <f t="shared" si="121"/>
        <v>-8458809.842719648</v>
      </c>
      <c r="H293" s="1441">
        <f t="shared" si="121"/>
        <v>-4937817.0228027403</v>
      </c>
      <c r="I293" s="1442">
        <f t="shared" si="121"/>
        <v>-1525668.8617650997</v>
      </c>
      <c r="J293" s="1441">
        <f t="shared" si="121"/>
        <v>1780122.52120492</v>
      </c>
      <c r="K293" s="1441">
        <f t="shared" si="121"/>
        <v>4981992.2750271615</v>
      </c>
      <c r="L293" s="1444">
        <f t="shared" si="121"/>
        <v>8082323.9606681131</v>
      </c>
      <c r="M293" s="1"/>
    </row>
    <row r="294" spans="1:17" ht="19.5" thickTop="1" thickBot="1">
      <c r="A294" t="s">
        <v>563</v>
      </c>
      <c r="H294" s="46"/>
      <c r="I294" s="710">
        <v>7</v>
      </c>
      <c r="J294" s="720">
        <v>8</v>
      </c>
      <c r="M294" s="1"/>
    </row>
    <row r="295" spans="1:17" ht="15.75" thickBot="1">
      <c r="A295" t="s">
        <v>274</v>
      </c>
      <c r="H295" s="434"/>
      <c r="I295" s="882">
        <f>-I293/J284</f>
        <v>0.46151395687721652</v>
      </c>
      <c r="M295" s="1"/>
      <c r="N295" s="716" t="s">
        <v>258</v>
      </c>
      <c r="O295" s="717" t="s">
        <v>259</v>
      </c>
    </row>
    <row r="296" spans="1:17" ht="16.5" thickTop="1" thickBot="1">
      <c r="A296" s="8" t="s">
        <v>267</v>
      </c>
      <c r="L296" s="1597" t="s">
        <v>288</v>
      </c>
      <c r="M296" s="1450">
        <f>I294+I295</f>
        <v>7.4615139568772166</v>
      </c>
      <c r="N296" s="517" t="s">
        <v>570</v>
      </c>
      <c r="O296" s="718" t="str">
        <f>IF(M296&lt;10,"OK","NOT OK")</f>
        <v>OK</v>
      </c>
    </row>
    <row r="297" spans="1:17" ht="16.5" thickTop="1" thickBot="1">
      <c r="L297" s="4"/>
      <c r="M297" s="1"/>
      <c r="N297" s="712"/>
      <c r="O297" s="487"/>
    </row>
    <row r="298" spans="1:17" ht="16.5" thickBot="1">
      <c r="A298" s="1448" t="s">
        <v>269</v>
      </c>
      <c r="B298" s="719"/>
      <c r="I298" s="1634"/>
      <c r="L298" s="1597" t="s">
        <v>287</v>
      </c>
      <c r="M298" s="1451">
        <f>SUM(C284:L284)</f>
        <v>8082323.9606681131</v>
      </c>
      <c r="N298" s="712" t="s">
        <v>549</v>
      </c>
      <c r="O298" s="714" t="str">
        <f>IF(M298&gt;0,"OK","NOT OK")</f>
        <v>OK</v>
      </c>
    </row>
    <row r="299" spans="1:17" ht="15.75">
      <c r="A299" s="1449" t="s">
        <v>285</v>
      </c>
      <c r="B299" s="748"/>
      <c r="C299" s="1595"/>
      <c r="I299" s="69"/>
      <c r="J299" s="2055" t="s">
        <v>655</v>
      </c>
      <c r="K299" s="2055"/>
      <c r="L299" s="2055"/>
      <c r="M299" s="1456">
        <f>NPV(B20,C283:L283)</f>
        <v>7771465.3467962621</v>
      </c>
      <c r="N299" s="712"/>
      <c r="O299" s="714"/>
    </row>
    <row r="300" spans="1:17">
      <c r="L300" s="750" t="s">
        <v>286</v>
      </c>
      <c r="M300" s="751">
        <f>M298-M299</f>
        <v>310858.613871851</v>
      </c>
      <c r="N300" s="712"/>
      <c r="O300" s="714"/>
    </row>
    <row r="301" spans="1:17" ht="16.5" thickBot="1">
      <c r="A301" s="1448" t="s">
        <v>270</v>
      </c>
      <c r="B301" s="719"/>
      <c r="M301" s="1"/>
      <c r="N301" s="712"/>
      <c r="O301" s="711"/>
    </row>
    <row r="302" spans="1:17" ht="15.75" thickBot="1">
      <c r="A302" t="s">
        <v>291</v>
      </c>
      <c r="L302" s="1597" t="s">
        <v>289</v>
      </c>
      <c r="M302" s="1452">
        <f>M298/(C279)</f>
        <v>0.58003468590881613</v>
      </c>
      <c r="N302" s="712" t="s">
        <v>567</v>
      </c>
      <c r="O302" s="714" t="str">
        <f>IF(M302&gt;1,"OK","NOT OK")</f>
        <v>NOT OK</v>
      </c>
    </row>
    <row r="303" spans="1:17" ht="16.5" thickBot="1">
      <c r="A303" s="1448" t="s">
        <v>271</v>
      </c>
      <c r="B303" s="719"/>
      <c r="L303" s="4"/>
      <c r="M303" s="1"/>
      <c r="N303" s="712"/>
      <c r="O303" s="711"/>
    </row>
    <row r="304" spans="1:17" ht="19.5" thickBot="1">
      <c r="A304" t="s">
        <v>260</v>
      </c>
      <c r="L304" s="1597" t="s">
        <v>290</v>
      </c>
      <c r="M304" s="1453">
        <f>IRR(C283:L283)</f>
        <v>0.12237183659292583</v>
      </c>
      <c r="N304" s="1454" t="s">
        <v>569</v>
      </c>
      <c r="O304" s="1067" t="str">
        <f>IF(M304&gt;4%,"OK dolní hranice","NOT OK dolní hranice")</f>
        <v>OK dolní hranice</v>
      </c>
      <c r="Q304" s="752" t="s">
        <v>298</v>
      </c>
    </row>
    <row r="305" spans="1:17" ht="19.5" thickBot="1">
      <c r="O305" s="1067" t="str">
        <f>IF(M304&lt;15%,"OK horní hranice","NOT OK horní hranice")</f>
        <v>OK horní hranice</v>
      </c>
      <c r="Q305" s="753" t="s">
        <v>297</v>
      </c>
    </row>
    <row r="306" spans="1:17" ht="15.75" thickBot="1"/>
    <row r="307" spans="1:17" ht="24" thickBot="1">
      <c r="A307" s="2038" t="s">
        <v>264</v>
      </c>
      <c r="B307" s="2038"/>
      <c r="C307" s="2038"/>
      <c r="D307" s="2038"/>
      <c r="E307" s="2038"/>
      <c r="F307" s="2038"/>
      <c r="G307" s="2038"/>
      <c r="H307" s="2038"/>
      <c r="I307" s="2038"/>
      <c r="J307" s="2038"/>
      <c r="K307" s="2038"/>
      <c r="L307" s="2038"/>
      <c r="M307" s="2039"/>
    </row>
    <row r="338" spans="1:1">
      <c r="A338" s="330" t="s">
        <v>671</v>
      </c>
    </row>
  </sheetData>
  <protectedRanges>
    <protectedRange algorithmName="SHA-512" hashValue="3XtUy4RBdPdiQWOf2FuGgR/M3EXd9hhMwjz/XIernxa82oaCAG5epAXDzG15A6PSI3mVMhDG8G6pi5Twd7k7ww==" saltValue="kUwwOPpw4qr8rsF5YHyrRA==" spinCount="100000" sqref="B20:B21 I8:L8 I5:L6 C8:G8 C5:G6 C7:E7 C17:G17 I17:M17 C22:G23 C14:M16 C32:G32 I32:M32 D20:G21 C29:M31 C19:G19 I19:M23 C18:M18 C33:M33 I39:L39 I36:L37 C39:G39 C36:G37 C38:E38 C48:G48 I48:M48 C61:G61 I61:M61 O42:P62 C58:M60 C50:G52 I50:M52 C49:M49 C62:M62 I68:L68 I65:L66 C68:G68 C65:G66 C67:E67 C77:G77 I77:M77 C90:G90 I90:M90 C87:M89 C79:G81 I79:M81 C78:M78 C91:M91 C74:M76 I206:M206 C206:G206 B111:B112 I101:L101 I98:L99 C101:G101 C98:G99 C100:E100 C113:G114 I110:M114 C107:M109 D111:G112 C110:G110 C120:M122 I125:M125 C125:G125 B138:B139 I128:L128 C128:G128 C127:E127 C140:G141 I137:M141 D138:G139 C137:G137 C147:M149 C134:M136 I152:M152 C152:G152 I155:L155 C155:G155 C154:E154 I164:M166 C164:G166 C161:M163 C172:M174 I239:M239 C239:G239 C246:M253 I272:M272 C272:G272 C279:M286 M5:M13 C213:M220 C271:M271 C305:M305 M24:M28 M36:M44 M53:M57 M65:M73 M82:M86 M98:M106 M115:M119 M127:M133 M142:M146 M154:M160 M167:M171 M208:M212 M241:M245 M274:M278 C45:M47" name="Oblast2"/>
    <protectedRange algorithmName="SHA-512" hashValue="RWmwzrr0Yo0wcUrpE4ulUBc1ANMkMEKYqx3DKsjpQebLSV2SCMkmIn0sk8tQabEYkkFwM7gBK8aePOOj+7No5Q==" saltValue="j0Wrf0S9tuuDDXghKo7oFQ==" spinCount="100000" sqref="B225:K225 B20:B21 C8:F8 C5:F6 I8:L8 I5:L6 C7:E7 I4:M4 C17:F17 I17:M17 C22:F23 C14:M16 C32:F32 I32:M32 D20:F21 C29:M31 C19:F19 I19:M23 C18:M18 C33:M33 C39:F39 C36:F37 I39:L39 I36:L37 C38:E38 C48:F48 I48:M48 C61:F61 I61:M61 I50:M52 C58:M60 C50:F52 C49:M49 C62:M62 C68:F68 C65:F66 I68:L68 I65:L66 C67:E67 C77:F77 I77:M77 C90:F90 I90:M90 I79:M81 C87:M89 C79:F81 C78:M78 C91:M91 C74:M76 C206:F206 I205:M206 B111:B112 C101:F101 C98:F99 I101:L101 I98:L99 C100:E100 C113:F114 I110:M114 C107:M109 D111:F112 C110:F110 C120:M122 C125:F125 I125:M125 B138:B139 C128:F128 I128:L128 C127:E127 C140:F141 I137:M141 D138:F139 C137:F137 C147:M149 C134:M136 C152:F152 I152:M152 C155:F155 I155:L155 C154:E154 C164:F166 I164:M166 C161:M163 C172:M174 C239:F239 I239:M239 C271:M271 C246:M253 C272:F272 I272:M272 C279:M286 M5:M13 C213:M220 B258:K258 B291:K291 C305:M305 M24:M28 M36:M44 M53:M57 M65:M73 M82:M86 M98:M106 M115:M119 M127:M133 M142:M146 M154:M160 M167:M171 M208:M212 M241:M245 M274:M278 C45:M47" name="Oblast1"/>
    <protectedRange algorithmName="SHA-512" hashValue="hhSDjZBvuk7WGMfV52f4X19Pz0xIF68upQLrxcbKEc8CKsp5OhDFGEvJm1sCE6d1hJzenZRpqsyIFMmslDEXhg==" saltValue="Z55RBapGUd1BXF+uxyBMFA==" spinCount="100000" sqref="C14:L17 C87:L90 C107:L108 C120:L121 C134:L135 C147:L148 C161:L162 C172:L173 C213:L216 C246:L249 C279:L282 C45:L48" name="Oblast3"/>
  </protectedRanges>
  <mergeCells count="15">
    <mergeCell ref="D3:N3"/>
    <mergeCell ref="A307:M307"/>
    <mergeCell ref="A36:M36"/>
    <mergeCell ref="A5:M5"/>
    <mergeCell ref="A65:M65"/>
    <mergeCell ref="A95:M95"/>
    <mergeCell ref="A98:M98"/>
    <mergeCell ref="A125:M125"/>
    <mergeCell ref="A152:M152"/>
    <mergeCell ref="A177:M177"/>
    <mergeCell ref="A204:M204"/>
    <mergeCell ref="A239:M239"/>
    <mergeCell ref="A272:M272"/>
    <mergeCell ref="A206:M206"/>
    <mergeCell ref="J299:L299"/>
  </mergeCells>
  <pageMargins left="0.7" right="0.7" top="0.78740157499999996" bottom="0.78740157499999996" header="0.3" footer="0.3"/>
  <pageSetup paperSize="9" scale="54" orientation="landscape" r:id="rId1"/>
  <ignoredErrors>
    <ignoredError sqref="M224 M230 M235 M237" evalError="1"/>
  </ignoredError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X55"/>
  <sheetViews>
    <sheetView showGridLines="0" zoomScaleNormal="100" workbookViewId="0">
      <selection sqref="A1:XFD1048576"/>
    </sheetView>
  </sheetViews>
  <sheetFormatPr defaultColWidth="9.140625" defaultRowHeight="15"/>
  <cols>
    <col min="1" max="1" width="42.28515625" style="2" customWidth="1"/>
    <col min="2" max="5" width="12.7109375" style="2" customWidth="1"/>
    <col min="6" max="6" width="15.5703125" style="2" customWidth="1"/>
    <col min="7" max="22" width="12.7109375" style="2" customWidth="1"/>
    <col min="23" max="23" width="60.28515625" style="2" customWidth="1"/>
    <col min="24" max="24" width="14.5703125" style="331" customWidth="1"/>
    <col min="25" max="28" width="11.7109375" style="2" customWidth="1"/>
    <col min="29" max="29" width="11.5703125" style="2" customWidth="1"/>
    <col min="30" max="32" width="9.140625" style="2"/>
    <col min="33" max="33" width="11" style="2" customWidth="1"/>
    <col min="34" max="38" width="9.140625" style="2"/>
    <col min="39" max="39" width="11.28515625" style="2" customWidth="1"/>
    <col min="40" max="43" width="9.140625" style="2"/>
    <col min="44" max="44" width="9.5703125" style="2" customWidth="1"/>
    <col min="45" max="16384" width="9.140625" style="2"/>
  </cols>
  <sheetData>
    <row r="1" spans="1:22" ht="15.75">
      <c r="A1" s="1604" t="str">
        <f>'Položkový rozpočet projektu'!A1:A1</f>
        <v>Modelový projekt: "Zvýšení technologické vybavenosti společnosti Šroub &amp; Matka, spol. s r.o. v Ostravě"</v>
      </c>
      <c r="B1" s="1609"/>
      <c r="C1" s="1609"/>
      <c r="D1" s="1609"/>
      <c r="E1" s="1609"/>
      <c r="F1" s="1609"/>
    </row>
    <row r="2" spans="1:22">
      <c r="A2"/>
    </row>
    <row r="3" spans="1:22" ht="18.75">
      <c r="A3" s="2121" t="s">
        <v>538</v>
      </c>
      <c r="B3" s="2122"/>
      <c r="C3" s="2122"/>
      <c r="D3" s="2122"/>
      <c r="E3" s="2122"/>
      <c r="F3" s="2122"/>
      <c r="G3" s="2122"/>
      <c r="H3" s="2122"/>
      <c r="I3" s="2122"/>
      <c r="J3" s="2122"/>
      <c r="K3" s="2122"/>
      <c r="L3" s="2122"/>
      <c r="M3" s="2122"/>
      <c r="N3" s="2122"/>
      <c r="O3" s="2122"/>
      <c r="P3" s="2122"/>
      <c r="Q3" s="2122"/>
      <c r="R3" s="2122"/>
      <c r="S3" s="2122"/>
      <c r="T3" s="1324"/>
      <c r="U3" s="1324"/>
      <c r="V3" s="1324"/>
    </row>
    <row r="5" spans="1:22" ht="16.5" thickBot="1">
      <c r="A5" s="1375" t="s">
        <v>539</v>
      </c>
    </row>
    <row r="6" spans="1:22" ht="16.5" thickBot="1">
      <c r="A6" s="1942" t="s">
        <v>536</v>
      </c>
      <c r="B6" s="2088">
        <v>2013</v>
      </c>
      <c r="C6" s="2089"/>
      <c r="D6" s="1367"/>
      <c r="E6" s="2088">
        <v>2014</v>
      </c>
      <c r="F6" s="2089"/>
      <c r="G6" s="2088">
        <v>2015</v>
      </c>
      <c r="H6" s="2089"/>
      <c r="I6" s="2090">
        <v>2016</v>
      </c>
      <c r="J6" s="2091"/>
      <c r="K6" s="2088">
        <v>2017</v>
      </c>
      <c r="L6" s="2089"/>
      <c r="M6" s="2088">
        <v>2018</v>
      </c>
      <c r="N6" s="2089"/>
      <c r="O6" s="2088">
        <v>2019</v>
      </c>
      <c r="P6" s="2089"/>
      <c r="Q6" s="2088">
        <v>2020</v>
      </c>
      <c r="R6" s="2089"/>
      <c r="S6" s="2088">
        <v>2021</v>
      </c>
      <c r="T6" s="2089"/>
      <c r="U6" s="2088">
        <v>2022</v>
      </c>
      <c r="V6" s="2089"/>
    </row>
    <row r="7" spans="1:22" ht="16.5" thickBot="1">
      <c r="A7" s="1957"/>
      <c r="B7" s="2092" t="s">
        <v>325</v>
      </c>
      <c r="C7" s="2093"/>
      <c r="D7" s="1368"/>
      <c r="E7" s="2092" t="s">
        <v>325</v>
      </c>
      <c r="F7" s="2093"/>
      <c r="G7" s="2092" t="s">
        <v>323</v>
      </c>
      <c r="H7" s="2093"/>
      <c r="I7" s="2094" t="s">
        <v>327</v>
      </c>
      <c r="J7" s="2095"/>
      <c r="K7" s="2080" t="s">
        <v>135</v>
      </c>
      <c r="L7" s="2081"/>
      <c r="M7" s="2080" t="s">
        <v>177</v>
      </c>
      <c r="N7" s="2081"/>
      <c r="O7" s="2080" t="s">
        <v>178</v>
      </c>
      <c r="P7" s="2081"/>
      <c r="Q7" s="2080" t="s">
        <v>179</v>
      </c>
      <c r="R7" s="2081"/>
      <c r="S7" s="2080" t="s">
        <v>180</v>
      </c>
      <c r="T7" s="2081"/>
      <c r="U7" s="2080" t="s">
        <v>181</v>
      </c>
      <c r="V7" s="2081"/>
    </row>
    <row r="8" spans="1:22" ht="16.5" thickBot="1">
      <c r="A8" s="1943"/>
      <c r="B8" s="1369" t="s">
        <v>46</v>
      </c>
      <c r="C8" s="1370" t="s">
        <v>45</v>
      </c>
      <c r="D8" s="1371"/>
      <c r="E8" s="1369" t="s">
        <v>46</v>
      </c>
      <c r="F8" s="1370" t="s">
        <v>45</v>
      </c>
      <c r="G8" s="1369" t="s">
        <v>46</v>
      </c>
      <c r="H8" s="1370" t="s">
        <v>45</v>
      </c>
      <c r="I8" s="1369" t="s">
        <v>46</v>
      </c>
      <c r="J8" s="1370" t="s">
        <v>45</v>
      </c>
      <c r="K8" s="1372" t="s">
        <v>46</v>
      </c>
      <c r="L8" s="1373" t="s">
        <v>45</v>
      </c>
      <c r="M8" s="1372" t="s">
        <v>46</v>
      </c>
      <c r="N8" s="1373" t="s">
        <v>45</v>
      </c>
      <c r="O8" s="1372" t="s">
        <v>46</v>
      </c>
      <c r="P8" s="1373" t="s">
        <v>45</v>
      </c>
      <c r="Q8" s="1372" t="s">
        <v>46</v>
      </c>
      <c r="R8" s="1373" t="s">
        <v>45</v>
      </c>
      <c r="S8" s="1372" t="s">
        <v>46</v>
      </c>
      <c r="T8" s="1373" t="s">
        <v>45</v>
      </c>
      <c r="U8" s="1372" t="s">
        <v>46</v>
      </c>
      <c r="V8" s="1373" t="s">
        <v>45</v>
      </c>
    </row>
    <row r="9" spans="1:22" ht="16.5" customHeight="1">
      <c r="A9" s="352" t="s">
        <v>504</v>
      </c>
      <c r="B9" s="912">
        <v>8</v>
      </c>
      <c r="C9" s="913">
        <f>C18*0.52</f>
        <v>9015.1360000000004</v>
      </c>
      <c r="D9" s="1297"/>
      <c r="E9" s="894">
        <v>10</v>
      </c>
      <c r="F9" s="918">
        <f t="shared" ref="F9:F17" si="0">$E$25*($E9/100)</f>
        <v>13750</v>
      </c>
      <c r="G9" s="894">
        <v>15</v>
      </c>
      <c r="H9" s="918">
        <f t="shared" ref="H9:H17" si="1">$G$25*($G9/100)</f>
        <v>20249.25</v>
      </c>
      <c r="I9" s="914">
        <v>1</v>
      </c>
      <c r="J9" s="915">
        <f t="shared" ref="J9:J17" si="2">$I$25*($I9/100)</f>
        <v>1622.99</v>
      </c>
      <c r="K9" s="916">
        <v>2</v>
      </c>
      <c r="L9" s="920">
        <f t="shared" ref="L9:L17" si="3">$K$25*($K9/100)</f>
        <v>3686.114583333333</v>
      </c>
      <c r="M9" s="917">
        <v>3</v>
      </c>
      <c r="N9" s="921">
        <f t="shared" ref="N9:N17" si="4">$M$25*($M9/100)</f>
        <v>6601.1085000000003</v>
      </c>
      <c r="O9" s="917">
        <v>3</v>
      </c>
      <c r="P9" s="921">
        <f t="shared" ref="P9:P17" si="5">$O$25*($O9/100)</f>
        <v>7284.9344999999994</v>
      </c>
      <c r="Q9" s="917">
        <v>3</v>
      </c>
      <c r="R9" s="921">
        <f t="shared" ref="R9:R17" si="6">$Q$25*($Q9/100)</f>
        <v>7968.7604999999994</v>
      </c>
      <c r="S9" s="917">
        <v>3</v>
      </c>
      <c r="T9" s="921">
        <f t="shared" ref="T9:T17" si="7">$S$25*($S9/100)</f>
        <v>8652.5864999999994</v>
      </c>
      <c r="U9" s="917">
        <v>3</v>
      </c>
      <c r="V9" s="921">
        <f t="shared" ref="V9:V17" si="8">$U$25*($U9/100)</f>
        <v>9336.4125000000004</v>
      </c>
    </row>
    <row r="10" spans="1:22" ht="16.5" customHeight="1">
      <c r="A10" s="352" t="s">
        <v>505</v>
      </c>
      <c r="B10" s="895">
        <v>8</v>
      </c>
      <c r="C10" s="1322">
        <f>C18*0.48</f>
        <v>8321.6639999999989</v>
      </c>
      <c r="D10" s="1298"/>
      <c r="E10" s="895">
        <v>7</v>
      </c>
      <c r="F10" s="1322">
        <f t="shared" si="0"/>
        <v>9625.0000000000018</v>
      </c>
      <c r="G10" s="895">
        <v>2</v>
      </c>
      <c r="H10" s="1322">
        <f t="shared" si="1"/>
        <v>2699.9</v>
      </c>
      <c r="I10" s="898">
        <v>1</v>
      </c>
      <c r="J10" s="911">
        <f t="shared" si="2"/>
        <v>1622.99</v>
      </c>
      <c r="K10" s="900">
        <v>8</v>
      </c>
      <c r="L10" s="920">
        <f t="shared" si="3"/>
        <v>14744.458333333332</v>
      </c>
      <c r="M10" s="904">
        <v>7</v>
      </c>
      <c r="N10" s="921">
        <f t="shared" si="4"/>
        <v>15402.586500000003</v>
      </c>
      <c r="O10" s="904">
        <v>6</v>
      </c>
      <c r="P10" s="921">
        <f t="shared" si="5"/>
        <v>14569.868999999999</v>
      </c>
      <c r="Q10" s="904">
        <v>8</v>
      </c>
      <c r="R10" s="921">
        <f t="shared" si="6"/>
        <v>21250.027999999998</v>
      </c>
      <c r="S10" s="904">
        <v>9</v>
      </c>
      <c r="T10" s="921">
        <f t="shared" si="7"/>
        <v>25957.759499999996</v>
      </c>
      <c r="U10" s="904">
        <v>10</v>
      </c>
      <c r="V10" s="921">
        <f t="shared" si="8"/>
        <v>31121.375</v>
      </c>
    </row>
    <row r="11" spans="1:22" ht="16.5" customHeight="1">
      <c r="A11" s="352" t="s">
        <v>506</v>
      </c>
      <c r="B11" s="895">
        <v>0</v>
      </c>
      <c r="C11" s="1322">
        <v>0</v>
      </c>
      <c r="D11" s="1298"/>
      <c r="E11" s="895">
        <v>15</v>
      </c>
      <c r="F11" s="918">
        <f t="shared" si="0"/>
        <v>20625</v>
      </c>
      <c r="G11" s="895">
        <v>8</v>
      </c>
      <c r="H11" s="918">
        <f t="shared" si="1"/>
        <v>10799.6</v>
      </c>
      <c r="I11" s="898">
        <v>25</v>
      </c>
      <c r="J11" s="911">
        <f t="shared" si="2"/>
        <v>40574.75</v>
      </c>
      <c r="K11" s="901">
        <v>25</v>
      </c>
      <c r="L11" s="920">
        <f t="shared" si="3"/>
        <v>46076.432291666664</v>
      </c>
      <c r="M11" s="904">
        <v>27</v>
      </c>
      <c r="N11" s="921">
        <f t="shared" si="4"/>
        <v>59409.976500000004</v>
      </c>
      <c r="O11" s="904">
        <v>29</v>
      </c>
      <c r="P11" s="921">
        <f t="shared" si="5"/>
        <v>70421.03349999999</v>
      </c>
      <c r="Q11" s="904">
        <v>30</v>
      </c>
      <c r="R11" s="921">
        <f t="shared" si="6"/>
        <v>79687.604999999996</v>
      </c>
      <c r="S11" s="904">
        <v>32</v>
      </c>
      <c r="T11" s="921">
        <f t="shared" si="7"/>
        <v>92294.255999999994</v>
      </c>
      <c r="U11" s="904">
        <v>34</v>
      </c>
      <c r="V11" s="921">
        <f t="shared" si="8"/>
        <v>105812.675</v>
      </c>
    </row>
    <row r="12" spans="1:22" ht="16.5" customHeight="1">
      <c r="A12" s="352" t="s">
        <v>507</v>
      </c>
      <c r="B12" s="896">
        <v>0</v>
      </c>
      <c r="C12" s="910">
        <v>0</v>
      </c>
      <c r="D12" s="1165"/>
      <c r="E12" s="896">
        <v>14</v>
      </c>
      <c r="F12" s="1160">
        <f t="shared" si="0"/>
        <v>19250.000000000004</v>
      </c>
      <c r="G12" s="896">
        <v>16</v>
      </c>
      <c r="H12" s="1160">
        <f t="shared" si="1"/>
        <v>21599.200000000001</v>
      </c>
      <c r="I12" s="1159">
        <v>24</v>
      </c>
      <c r="J12" s="1161">
        <f t="shared" si="2"/>
        <v>38951.760000000002</v>
      </c>
      <c r="K12" s="902">
        <v>35</v>
      </c>
      <c r="L12" s="1162">
        <f t="shared" si="3"/>
        <v>64507.005208333328</v>
      </c>
      <c r="M12" s="905">
        <v>37</v>
      </c>
      <c r="N12" s="1163">
        <f t="shared" si="4"/>
        <v>81413.671499999997</v>
      </c>
      <c r="O12" s="905">
        <v>39</v>
      </c>
      <c r="P12" s="1163">
        <f t="shared" si="5"/>
        <v>94704.148499999996</v>
      </c>
      <c r="Q12" s="905">
        <v>37</v>
      </c>
      <c r="R12" s="1163">
        <f t="shared" si="6"/>
        <v>98281.379499999995</v>
      </c>
      <c r="S12" s="905">
        <v>37</v>
      </c>
      <c r="T12" s="1163">
        <f t="shared" si="7"/>
        <v>106715.23349999999</v>
      </c>
      <c r="U12" s="905">
        <v>37</v>
      </c>
      <c r="V12" s="1163">
        <f t="shared" si="8"/>
        <v>115149.08749999999</v>
      </c>
    </row>
    <row r="13" spans="1:22" ht="16.5" customHeight="1">
      <c r="A13" s="352" t="s">
        <v>508</v>
      </c>
      <c r="B13" s="896">
        <v>0</v>
      </c>
      <c r="C13" s="910">
        <v>0</v>
      </c>
      <c r="D13" s="1165"/>
      <c r="E13" s="896">
        <v>0</v>
      </c>
      <c r="F13" s="1160">
        <f t="shared" si="0"/>
        <v>0</v>
      </c>
      <c r="G13" s="896">
        <v>8</v>
      </c>
      <c r="H13" s="1160">
        <f t="shared" si="1"/>
        <v>10799.6</v>
      </c>
      <c r="I13" s="1159">
        <v>7</v>
      </c>
      <c r="J13" s="1161">
        <f t="shared" si="2"/>
        <v>11360.93</v>
      </c>
      <c r="K13" s="1174">
        <v>12</v>
      </c>
      <c r="L13" s="1175">
        <f t="shared" si="3"/>
        <v>22116.687499999996</v>
      </c>
      <c r="M13" s="1176">
        <v>10</v>
      </c>
      <c r="N13" s="1177">
        <f t="shared" si="4"/>
        <v>22003.695000000003</v>
      </c>
      <c r="O13" s="1176">
        <v>9</v>
      </c>
      <c r="P13" s="1177">
        <f t="shared" si="5"/>
        <v>21854.803499999998</v>
      </c>
      <c r="Q13" s="1176">
        <v>7</v>
      </c>
      <c r="R13" s="1177">
        <f t="shared" si="6"/>
        <v>18593.7745</v>
      </c>
      <c r="S13" s="1176">
        <v>6</v>
      </c>
      <c r="T13" s="1177">
        <f t="shared" si="7"/>
        <v>17305.172999999999</v>
      </c>
      <c r="U13" s="1176">
        <v>4</v>
      </c>
      <c r="V13" s="1178">
        <f t="shared" si="8"/>
        <v>12448.550000000001</v>
      </c>
    </row>
    <row r="14" spans="1:22" ht="16.5" customHeight="1">
      <c r="A14" s="352" t="s">
        <v>509</v>
      </c>
      <c r="B14" s="896">
        <v>0</v>
      </c>
      <c r="C14" s="910">
        <v>0</v>
      </c>
      <c r="D14" s="1165"/>
      <c r="E14" s="896">
        <v>0</v>
      </c>
      <c r="F14" s="1160">
        <f t="shared" si="0"/>
        <v>0</v>
      </c>
      <c r="G14" s="896">
        <v>7</v>
      </c>
      <c r="H14" s="1160">
        <f t="shared" si="1"/>
        <v>9449.6500000000015</v>
      </c>
      <c r="I14" s="1159">
        <v>8.6300000000000008</v>
      </c>
      <c r="J14" s="1161">
        <f t="shared" si="2"/>
        <v>14006.403700000001</v>
      </c>
      <c r="K14" s="1174">
        <v>2</v>
      </c>
      <c r="L14" s="1175">
        <f t="shared" si="3"/>
        <v>3686.114583333333</v>
      </c>
      <c r="M14" s="1176">
        <v>2</v>
      </c>
      <c r="N14" s="1177">
        <f t="shared" si="4"/>
        <v>4400.7390000000005</v>
      </c>
      <c r="O14" s="1176">
        <v>1</v>
      </c>
      <c r="P14" s="1177">
        <f t="shared" si="5"/>
        <v>2428.3114999999998</v>
      </c>
      <c r="Q14" s="1176">
        <v>1</v>
      </c>
      <c r="R14" s="1177">
        <f t="shared" si="6"/>
        <v>2656.2534999999998</v>
      </c>
      <c r="S14" s="1176">
        <v>1</v>
      </c>
      <c r="T14" s="1177">
        <f t="shared" si="7"/>
        <v>2884.1954999999998</v>
      </c>
      <c r="U14" s="1176">
        <v>0</v>
      </c>
      <c r="V14" s="1178">
        <f t="shared" si="8"/>
        <v>0</v>
      </c>
    </row>
    <row r="15" spans="1:22" ht="16.5" customHeight="1">
      <c r="A15" s="352" t="s">
        <v>510</v>
      </c>
      <c r="B15" s="896">
        <v>0</v>
      </c>
      <c r="C15" s="910">
        <v>0</v>
      </c>
      <c r="D15" s="1165"/>
      <c r="E15" s="896">
        <v>0</v>
      </c>
      <c r="F15" s="1160">
        <f t="shared" si="0"/>
        <v>0</v>
      </c>
      <c r="G15" s="896">
        <v>2</v>
      </c>
      <c r="H15" s="1160">
        <f t="shared" si="1"/>
        <v>2699.9</v>
      </c>
      <c r="I15" s="1159">
        <v>5.68</v>
      </c>
      <c r="J15" s="1161">
        <f t="shared" si="2"/>
        <v>9218.5831999999991</v>
      </c>
      <c r="K15" s="1174">
        <v>3</v>
      </c>
      <c r="L15" s="1175">
        <f t="shared" si="3"/>
        <v>5529.1718749999991</v>
      </c>
      <c r="M15" s="1176">
        <v>3</v>
      </c>
      <c r="N15" s="1177">
        <f t="shared" si="4"/>
        <v>6601.1085000000003</v>
      </c>
      <c r="O15" s="1176">
        <v>2</v>
      </c>
      <c r="P15" s="1177">
        <f t="shared" si="5"/>
        <v>4856.6229999999996</v>
      </c>
      <c r="Q15" s="1176">
        <v>2</v>
      </c>
      <c r="R15" s="1177">
        <f t="shared" si="6"/>
        <v>5312.5069999999996</v>
      </c>
      <c r="S15" s="1176">
        <v>2</v>
      </c>
      <c r="T15" s="1177">
        <f t="shared" si="7"/>
        <v>5768.3909999999996</v>
      </c>
      <c r="U15" s="1176">
        <v>1</v>
      </c>
      <c r="V15" s="1178">
        <f t="shared" si="8"/>
        <v>3112.1375000000003</v>
      </c>
    </row>
    <row r="16" spans="1:22" ht="16.5" customHeight="1">
      <c r="A16" s="352" t="s">
        <v>511</v>
      </c>
      <c r="B16" s="896">
        <v>0</v>
      </c>
      <c r="C16" s="910">
        <v>0</v>
      </c>
      <c r="D16" s="1165"/>
      <c r="E16" s="896">
        <v>0</v>
      </c>
      <c r="F16" s="1160">
        <f t="shared" si="0"/>
        <v>0</v>
      </c>
      <c r="G16" s="896">
        <v>13</v>
      </c>
      <c r="H16" s="1160">
        <f t="shared" si="1"/>
        <v>17549.350000000002</v>
      </c>
      <c r="I16" s="1159">
        <v>11.27</v>
      </c>
      <c r="J16" s="1161">
        <f t="shared" si="2"/>
        <v>18291.097299999998</v>
      </c>
      <c r="K16" s="1174">
        <v>2</v>
      </c>
      <c r="L16" s="1175">
        <f t="shared" si="3"/>
        <v>3686.114583333333</v>
      </c>
      <c r="M16" s="1176">
        <v>1</v>
      </c>
      <c r="N16" s="1177">
        <f t="shared" si="4"/>
        <v>2200.3695000000002</v>
      </c>
      <c r="O16" s="1176">
        <v>1</v>
      </c>
      <c r="P16" s="1177">
        <f t="shared" si="5"/>
        <v>2428.3114999999998</v>
      </c>
      <c r="Q16" s="1176">
        <v>1</v>
      </c>
      <c r="R16" s="1177">
        <f t="shared" si="6"/>
        <v>2656.2534999999998</v>
      </c>
      <c r="S16" s="1176">
        <v>1</v>
      </c>
      <c r="T16" s="1177">
        <f t="shared" si="7"/>
        <v>2884.1954999999998</v>
      </c>
      <c r="U16" s="1176">
        <v>0</v>
      </c>
      <c r="V16" s="1178">
        <f t="shared" si="8"/>
        <v>0</v>
      </c>
    </row>
    <row r="17" spans="1:22" ht="16.5" customHeight="1" thickBot="1">
      <c r="A17" s="352" t="s">
        <v>512</v>
      </c>
      <c r="B17" s="919">
        <v>0</v>
      </c>
      <c r="C17" s="1323">
        <v>0</v>
      </c>
      <c r="D17" s="1164"/>
      <c r="E17" s="919">
        <v>0</v>
      </c>
      <c r="F17" s="964">
        <f t="shared" si="0"/>
        <v>0</v>
      </c>
      <c r="G17" s="919">
        <v>21</v>
      </c>
      <c r="H17" s="964">
        <f t="shared" si="1"/>
        <v>28348.95</v>
      </c>
      <c r="I17" s="1168">
        <v>9</v>
      </c>
      <c r="J17" s="1161">
        <f t="shared" si="2"/>
        <v>14606.91</v>
      </c>
      <c r="K17" s="1169">
        <v>9</v>
      </c>
      <c r="L17" s="1170">
        <f t="shared" si="3"/>
        <v>16587.515625</v>
      </c>
      <c r="M17" s="1171">
        <v>8</v>
      </c>
      <c r="N17" s="1172">
        <f t="shared" si="4"/>
        <v>17602.956000000002</v>
      </c>
      <c r="O17" s="1171">
        <v>6</v>
      </c>
      <c r="P17" s="1172">
        <f t="shared" si="5"/>
        <v>14569.868999999999</v>
      </c>
      <c r="Q17" s="1171">
        <v>6</v>
      </c>
      <c r="R17" s="1172">
        <f t="shared" si="6"/>
        <v>15937.520999999999</v>
      </c>
      <c r="S17" s="1171">
        <v>3</v>
      </c>
      <c r="T17" s="1172">
        <f t="shared" si="7"/>
        <v>8652.5864999999994</v>
      </c>
      <c r="U17" s="1171">
        <v>3</v>
      </c>
      <c r="V17" s="1173">
        <f t="shared" si="8"/>
        <v>9336.4125000000004</v>
      </c>
    </row>
    <row r="18" spans="1:22" ht="16.5" customHeight="1" thickBot="1">
      <c r="A18" s="1374" t="s">
        <v>160</v>
      </c>
      <c r="B18" s="897">
        <f>SUM(B9:B17)</f>
        <v>16</v>
      </c>
      <c r="C18" s="1306">
        <f>C25*0.16</f>
        <v>17336.8</v>
      </c>
      <c r="D18" s="1305"/>
      <c r="E18" s="897">
        <f t="shared" ref="E18:V18" si="9">SUM(E9:E17)</f>
        <v>46</v>
      </c>
      <c r="F18" s="897">
        <f t="shared" si="9"/>
        <v>63250</v>
      </c>
      <c r="G18" s="897">
        <f t="shared" si="9"/>
        <v>92</v>
      </c>
      <c r="H18" s="897">
        <f t="shared" si="9"/>
        <v>124195.40000000001</v>
      </c>
      <c r="I18" s="899">
        <f t="shared" si="9"/>
        <v>92.58</v>
      </c>
      <c r="J18" s="899">
        <f t="shared" si="9"/>
        <v>150256.4142</v>
      </c>
      <c r="K18" s="903">
        <f t="shared" si="9"/>
        <v>98</v>
      </c>
      <c r="L18" s="903">
        <f t="shared" si="9"/>
        <v>180619.61458333334</v>
      </c>
      <c r="M18" s="906">
        <f t="shared" si="9"/>
        <v>98</v>
      </c>
      <c r="N18" s="906">
        <f t="shared" si="9"/>
        <v>215636.21100000001</v>
      </c>
      <c r="O18" s="906">
        <f t="shared" si="9"/>
        <v>96</v>
      </c>
      <c r="P18" s="906">
        <f t="shared" si="9"/>
        <v>233117.90400000001</v>
      </c>
      <c r="Q18" s="906">
        <f t="shared" si="9"/>
        <v>95</v>
      </c>
      <c r="R18" s="906">
        <f t="shared" si="9"/>
        <v>252344.08249999999</v>
      </c>
      <c r="S18" s="906">
        <f t="shared" si="9"/>
        <v>94</v>
      </c>
      <c r="T18" s="906">
        <f t="shared" si="9"/>
        <v>271114.37699999998</v>
      </c>
      <c r="U18" s="906">
        <f t="shared" si="9"/>
        <v>92</v>
      </c>
      <c r="V18" s="909">
        <f t="shared" si="9"/>
        <v>286316.64999999997</v>
      </c>
    </row>
    <row r="19" spans="1:22" ht="16.5" customHeight="1">
      <c r="A19" s="2" t="s">
        <v>410</v>
      </c>
    </row>
    <row r="20" spans="1:22" ht="16.5" customHeight="1">
      <c r="A20" s="1340" t="s">
        <v>500</v>
      </c>
    </row>
    <row r="21" spans="1:22" ht="16.5" customHeight="1" thickBo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</row>
    <row r="22" spans="1:22" ht="19.5" thickBot="1">
      <c r="A22" s="2116" t="s">
        <v>333</v>
      </c>
      <c r="B22" s="2117"/>
      <c r="C22" s="2117"/>
      <c r="D22" s="2117"/>
      <c r="E22" s="2117"/>
      <c r="F22" s="2117"/>
      <c r="G22" s="2117"/>
      <c r="H22" s="2117"/>
      <c r="I22" s="2117"/>
      <c r="J22" s="2117"/>
      <c r="K22" s="2117"/>
      <c r="L22" s="2117"/>
      <c r="M22" s="2117"/>
      <c r="N22" s="2117"/>
      <c r="O22" s="2117"/>
      <c r="P22" s="2117"/>
      <c r="Q22" s="2117"/>
      <c r="R22" s="2117"/>
      <c r="S22" s="2117"/>
      <c r="T22" s="2117"/>
      <c r="U22" s="2117"/>
      <c r="V22" s="2118"/>
    </row>
    <row r="23" spans="1:22" ht="15.75" thickBot="1">
      <c r="A23" s="1352" t="s">
        <v>184</v>
      </c>
      <c r="B23" s="2119">
        <v>2013</v>
      </c>
      <c r="C23" s="2120"/>
      <c r="D23" s="1353"/>
      <c r="E23" s="2120">
        <v>2014</v>
      </c>
      <c r="F23" s="2120"/>
      <c r="G23" s="2120">
        <v>2015</v>
      </c>
      <c r="H23" s="2120"/>
      <c r="I23" s="2120">
        <v>2016</v>
      </c>
      <c r="J23" s="2120"/>
      <c r="K23" s="2120">
        <v>2017</v>
      </c>
      <c r="L23" s="2120"/>
      <c r="M23" s="2120">
        <v>2018</v>
      </c>
      <c r="N23" s="2120"/>
      <c r="O23" s="2120">
        <v>2019</v>
      </c>
      <c r="P23" s="2120"/>
      <c r="Q23" s="2120">
        <v>2020</v>
      </c>
      <c r="R23" s="2120"/>
      <c r="S23" s="2120">
        <v>2021</v>
      </c>
      <c r="T23" s="2120"/>
      <c r="U23" s="2120">
        <v>2022</v>
      </c>
      <c r="V23" s="2120"/>
    </row>
    <row r="24" spans="1:22" ht="15.75" thickBot="1">
      <c r="A24" s="955" t="s">
        <v>331</v>
      </c>
      <c r="B24" s="953" t="s">
        <v>182</v>
      </c>
      <c r="C24" s="907">
        <f>'Zakl. ekon. ukazatele'!D25</f>
        <v>108355</v>
      </c>
      <c r="D24" s="1299"/>
      <c r="E24" s="2096">
        <f>'Zakl. ekon. ukazatele'!E9</f>
        <v>137500</v>
      </c>
      <c r="F24" s="2097"/>
      <c r="G24" s="2096">
        <f>'Zakl. ekon. ukazatele'!F9</f>
        <v>134995</v>
      </c>
      <c r="H24" s="2097"/>
      <c r="I24" s="2096">
        <f>'Zakl. ekon. ukazatele'!G9</f>
        <v>162299</v>
      </c>
      <c r="J24" s="2097"/>
      <c r="K24" s="2096">
        <f>'Zakl. ekon. ukazatele'!H9</f>
        <v>184305.72916666666</v>
      </c>
      <c r="L24" s="2097"/>
      <c r="M24" s="2096">
        <f>'Zakl. ekon. ukazatele'!I9</f>
        <v>220036.95</v>
      </c>
      <c r="N24" s="2097"/>
      <c r="O24" s="2096">
        <f>'Zakl. ekon. ukazatele'!J9</f>
        <v>242831.15</v>
      </c>
      <c r="P24" s="2097"/>
      <c r="Q24" s="2096">
        <f>'Zakl. ekon. ukazatele'!K9</f>
        <v>265625.34999999998</v>
      </c>
      <c r="R24" s="2097"/>
      <c r="S24" s="2096">
        <f>'Zakl. ekon. ukazatele'!L9</f>
        <v>288419.55</v>
      </c>
      <c r="T24" s="2097"/>
      <c r="U24" s="2096">
        <f>'Zakl. ekon. ukazatele'!M9</f>
        <v>311213.75</v>
      </c>
      <c r="V24" s="2097"/>
    </row>
    <row r="25" spans="1:22" ht="15.75" thickBot="1">
      <c r="A25" s="956" t="s">
        <v>332</v>
      </c>
      <c r="B25" s="954" t="s">
        <v>182</v>
      </c>
      <c r="C25" s="908">
        <f>SUM(C24:C24)</f>
        <v>108355</v>
      </c>
      <c r="D25" s="1300"/>
      <c r="E25" s="2098">
        <f>SUM(E24:E24)</f>
        <v>137500</v>
      </c>
      <c r="F25" s="2099"/>
      <c r="G25" s="2098">
        <f>SUM(G24:G24)</f>
        <v>134995</v>
      </c>
      <c r="H25" s="2099"/>
      <c r="I25" s="2098">
        <f>SUM(I24:I24)</f>
        <v>162299</v>
      </c>
      <c r="J25" s="2099"/>
      <c r="K25" s="2098">
        <f>SUM(K24:K24)</f>
        <v>184305.72916666666</v>
      </c>
      <c r="L25" s="2099"/>
      <c r="M25" s="2098">
        <f>SUM(M24:M24)</f>
        <v>220036.95</v>
      </c>
      <c r="N25" s="2099"/>
      <c r="O25" s="2098">
        <f>SUM(O24:O24)</f>
        <v>242831.15</v>
      </c>
      <c r="P25" s="2099"/>
      <c r="Q25" s="2098">
        <f>SUM(Q24:Q24)</f>
        <v>265625.34999999998</v>
      </c>
      <c r="R25" s="2099"/>
      <c r="S25" s="2098">
        <f>SUM(S24:S24)</f>
        <v>288419.55</v>
      </c>
      <c r="T25" s="2099"/>
      <c r="U25" s="2098">
        <f>SUM(U24:U24)</f>
        <v>311213.75</v>
      </c>
      <c r="V25" s="2099"/>
    </row>
    <row r="26" spans="1:2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</row>
    <row r="27" spans="1:22">
      <c r="A27" s="150" t="s">
        <v>360</v>
      </c>
      <c r="B27" s="52">
        <f>B18</f>
        <v>16</v>
      </c>
      <c r="C27" s="291">
        <f>C25*(B27/100)</f>
        <v>17336.8</v>
      </c>
      <c r="D27" s="291"/>
      <c r="E27" s="52">
        <f>E18</f>
        <v>46</v>
      </c>
      <c r="F27" s="291">
        <f>E25*(E27/100)</f>
        <v>63250</v>
      </c>
      <c r="G27" s="52">
        <f>G18</f>
        <v>92</v>
      </c>
      <c r="H27" s="291">
        <f>G25*(G27/100)</f>
        <v>124195.40000000001</v>
      </c>
      <c r="I27" s="52">
        <f>I18</f>
        <v>92.58</v>
      </c>
      <c r="J27" s="291">
        <f>I25*(I27/100)</f>
        <v>150256.4142</v>
      </c>
      <c r="K27" s="52">
        <f>K18</f>
        <v>98</v>
      </c>
      <c r="L27" s="291">
        <f>K25*(K27/100)</f>
        <v>180619.61458333331</v>
      </c>
      <c r="M27" s="52">
        <f>M18</f>
        <v>98</v>
      </c>
      <c r="N27" s="291">
        <f>M25*(M27/100)</f>
        <v>215636.21100000001</v>
      </c>
      <c r="O27" s="52">
        <f>O18</f>
        <v>96</v>
      </c>
      <c r="P27" s="291">
        <f>O25*(O27/100)</f>
        <v>233117.90399999998</v>
      </c>
      <c r="Q27" s="52">
        <f>Q18</f>
        <v>95</v>
      </c>
      <c r="R27" s="291">
        <f>Q25*(Q27/100)</f>
        <v>252344.08249999996</v>
      </c>
      <c r="S27" s="52">
        <f>S18</f>
        <v>94</v>
      </c>
      <c r="T27" s="291">
        <f>S25*(S27/100)</f>
        <v>271114.37699999998</v>
      </c>
      <c r="U27" s="52">
        <f>U18</f>
        <v>92</v>
      </c>
      <c r="V27" s="291">
        <f>U25*(U27/100)</f>
        <v>286316.65000000002</v>
      </c>
    </row>
    <row r="28" spans="1:22">
      <c r="A28" s="150"/>
      <c r="B28" s="52"/>
      <c r="C28" s="291"/>
      <c r="D28" s="291"/>
      <c r="E28" s="52"/>
      <c r="F28" s="291"/>
      <c r="G28" s="52"/>
      <c r="H28" s="291"/>
      <c r="I28" s="52"/>
      <c r="J28" s="291"/>
      <c r="K28" s="52"/>
      <c r="L28" s="291"/>
      <c r="M28" s="52"/>
      <c r="N28" s="291"/>
      <c r="O28" s="52"/>
      <c r="P28" s="291"/>
      <c r="Q28" s="52"/>
      <c r="R28" s="291"/>
      <c r="S28" s="52"/>
      <c r="T28" s="291"/>
      <c r="U28" s="52"/>
      <c r="V28" s="291"/>
    </row>
    <row r="29" spans="1:2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</row>
    <row r="30" spans="1:22" ht="21">
      <c r="A30" s="1341" t="s">
        <v>502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</row>
    <row r="31" spans="1:22" ht="21">
      <c r="A31" s="1065" t="s">
        <v>501</v>
      </c>
      <c r="B31" s="1066"/>
      <c r="C31" s="1066"/>
      <c r="D31" s="1066"/>
      <c r="E31" s="1066"/>
      <c r="F31" s="1066"/>
      <c r="G31" s="1066"/>
      <c r="H31" s="1066"/>
      <c r="I31" s="1066"/>
      <c r="J31" s="1066"/>
      <c r="K31" s="1066"/>
      <c r="L31" s="1066"/>
      <c r="M31" s="1066"/>
      <c r="N31" s="1066"/>
      <c r="O31" s="1303"/>
      <c r="P31" s="46"/>
      <c r="Q31" s="46"/>
      <c r="R31" s="46"/>
      <c r="S31" s="46"/>
      <c r="T31" s="46"/>
      <c r="U31" s="46"/>
      <c r="V31" s="46"/>
    </row>
    <row r="33" spans="1:18" ht="16.5" thickTop="1">
      <c r="A33" s="1183"/>
      <c r="B33" s="1184" t="s">
        <v>334</v>
      </c>
      <c r="C33" s="1184" t="s">
        <v>335</v>
      </c>
      <c r="D33" s="1184" t="s">
        <v>336</v>
      </c>
      <c r="E33" s="1184" t="s">
        <v>337</v>
      </c>
      <c r="F33" s="1184" t="s">
        <v>338</v>
      </c>
      <c r="G33" s="2106" t="s">
        <v>468</v>
      </c>
      <c r="H33" s="2107"/>
      <c r="I33" s="46"/>
      <c r="J33" s="2108" t="s">
        <v>385</v>
      </c>
      <c r="K33" s="2109"/>
      <c r="L33" s="2109"/>
      <c r="M33" s="2109"/>
      <c r="N33" s="2109"/>
      <c r="O33" s="2109"/>
      <c r="P33" s="2109"/>
      <c r="Q33" s="2109"/>
      <c r="R33" s="2110"/>
    </row>
    <row r="34" spans="1:18" ht="122.25" customHeight="1" thickBot="1">
      <c r="A34" s="1185"/>
      <c r="B34" s="1186" t="s">
        <v>326</v>
      </c>
      <c r="C34" s="1186" t="s">
        <v>325</v>
      </c>
      <c r="D34" s="1186" t="s">
        <v>324</v>
      </c>
      <c r="E34" s="1186" t="s">
        <v>323</v>
      </c>
      <c r="F34" s="1351" t="s">
        <v>469</v>
      </c>
      <c r="G34" s="2114" t="s">
        <v>474</v>
      </c>
      <c r="H34" s="2115"/>
      <c r="I34" s="46"/>
      <c r="J34" s="2111"/>
      <c r="K34" s="2112"/>
      <c r="L34" s="2112"/>
      <c r="M34" s="2112"/>
      <c r="N34" s="2112"/>
      <c r="O34" s="2112"/>
      <c r="P34" s="2112"/>
      <c r="Q34" s="2112"/>
      <c r="R34" s="2113"/>
    </row>
    <row r="35" spans="1:18" ht="17.25" thickTop="1" thickBot="1">
      <c r="A35" s="1354" t="s">
        <v>184</v>
      </c>
      <c r="B35" s="1355">
        <v>2013</v>
      </c>
      <c r="C35" s="1355">
        <v>2014</v>
      </c>
      <c r="D35" s="1355">
        <v>2015</v>
      </c>
      <c r="E35" s="1355">
        <v>2016</v>
      </c>
      <c r="F35" s="1356" t="s">
        <v>386</v>
      </c>
      <c r="G35" s="1357" t="s">
        <v>383</v>
      </c>
      <c r="H35" s="1357" t="s">
        <v>384</v>
      </c>
      <c r="I35" s="46"/>
      <c r="J35" s="2100" t="str">
        <f>IF(G36&gt;100%,"NÁRŮST TRŽEB","POKLES TRŽEB")</f>
        <v>NÁRŮST TRŽEB</v>
      </c>
      <c r="K35" s="2101"/>
      <c r="L35" s="2102"/>
      <c r="M35" s="2101" t="s">
        <v>376</v>
      </c>
      <c r="N35" s="2101"/>
      <c r="O35" s="2101"/>
      <c r="P35" s="2101"/>
      <c r="Q35" s="2101"/>
      <c r="R35" s="2102"/>
    </row>
    <row r="36" spans="1:18" ht="16.5" thickBot="1">
      <c r="A36" s="1187" t="s">
        <v>414</v>
      </c>
      <c r="B36" s="1188">
        <f>'Zakl. ekon. ukazatele'!C25</f>
        <v>76522</v>
      </c>
      <c r="C36" s="1188">
        <f>'Zakl. ekon. ukazatele'!D25</f>
        <v>108355</v>
      </c>
      <c r="D36" s="1188">
        <f>'Zakl. ekon. ukazatele'!E25</f>
        <v>137500</v>
      </c>
      <c r="E36" s="1188">
        <f>'Zakl. ekon. ukazatele'!F25</f>
        <v>134995</v>
      </c>
      <c r="F36" s="1188">
        <f>(C36+D36+E36)/3</f>
        <v>126950</v>
      </c>
      <c r="G36" s="1304">
        <f>F36/B36</f>
        <v>1.6590000261362745</v>
      </c>
      <c r="H36" s="1304">
        <f>G36-100%</f>
        <v>0.65900002613627451</v>
      </c>
      <c r="J36" s="2103"/>
      <c r="K36" s="2104"/>
      <c r="L36" s="2105"/>
      <c r="M36" s="2104"/>
      <c r="N36" s="2104"/>
      <c r="O36" s="2104"/>
      <c r="P36" s="2104"/>
      <c r="Q36" s="2104"/>
      <c r="R36" s="2105"/>
    </row>
    <row r="37" spans="1:18">
      <c r="A37" s="46" t="s">
        <v>473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>
      <c r="A38" s="1340" t="s">
        <v>500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</row>
    <row r="40" spans="1:18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</row>
    <row r="41" spans="1:18" ht="16.5" thickBot="1">
      <c r="A41" s="1375" t="s">
        <v>503</v>
      </c>
    </row>
    <row r="42" spans="1:18" ht="16.5" thickBot="1">
      <c r="A42" s="1942" t="s">
        <v>537</v>
      </c>
      <c r="B42" s="2088">
        <v>2013</v>
      </c>
      <c r="C42" s="2089"/>
      <c r="D42" s="1367"/>
      <c r="E42" s="2088">
        <v>2014</v>
      </c>
      <c r="F42" s="2089"/>
      <c r="G42" s="2090">
        <v>2015</v>
      </c>
      <c r="H42" s="2091"/>
      <c r="I42" s="2088">
        <v>2016</v>
      </c>
      <c r="J42" s="2089"/>
      <c r="K42" s="2088">
        <v>2017</v>
      </c>
      <c r="L42" s="2089"/>
      <c r="M42" s="46"/>
      <c r="N42" s="46"/>
      <c r="O42" s="46"/>
      <c r="P42" s="46"/>
      <c r="Q42" s="46"/>
      <c r="R42" s="46"/>
    </row>
    <row r="43" spans="1:18" ht="16.5" thickBot="1">
      <c r="A43" s="1957"/>
      <c r="B43" s="2092" t="s">
        <v>325</v>
      </c>
      <c r="C43" s="2093"/>
      <c r="D43" s="1368"/>
      <c r="E43" s="2092" t="s">
        <v>325</v>
      </c>
      <c r="F43" s="2093"/>
      <c r="G43" s="2094" t="s">
        <v>323</v>
      </c>
      <c r="H43" s="2095"/>
      <c r="I43" s="2092" t="s">
        <v>327</v>
      </c>
      <c r="J43" s="2093"/>
      <c r="K43" s="2080" t="s">
        <v>135</v>
      </c>
      <c r="L43" s="2081"/>
      <c r="M43" s="46"/>
      <c r="N43" s="46"/>
      <c r="O43" s="46"/>
      <c r="P43" s="46"/>
      <c r="Q43" s="46"/>
      <c r="R43" s="46"/>
    </row>
    <row r="44" spans="1:18" ht="16.5" thickBot="1">
      <c r="A44" s="1943"/>
      <c r="B44" s="2082" t="s">
        <v>45</v>
      </c>
      <c r="C44" s="2083"/>
      <c r="D44" s="1296"/>
      <c r="E44" s="2082" t="s">
        <v>45</v>
      </c>
      <c r="F44" s="2083" t="s">
        <v>45</v>
      </c>
      <c r="G44" s="2084" t="s">
        <v>45</v>
      </c>
      <c r="H44" s="2085"/>
      <c r="I44" s="2082" t="s">
        <v>45</v>
      </c>
      <c r="J44" s="2083" t="s">
        <v>45</v>
      </c>
      <c r="K44" s="2086" t="s">
        <v>45</v>
      </c>
      <c r="L44" s="2087"/>
      <c r="M44" s="46"/>
      <c r="N44" s="46"/>
      <c r="O44" s="46"/>
      <c r="P44" s="46"/>
      <c r="Q44" s="46"/>
      <c r="R44" s="46"/>
    </row>
    <row r="45" spans="1:18" ht="15.75">
      <c r="A45" s="1182" t="s">
        <v>513</v>
      </c>
      <c r="B45" s="2074">
        <v>6787</v>
      </c>
      <c r="C45" s="2075"/>
      <c r="D45" s="1301"/>
      <c r="E45" s="2074">
        <v>4903</v>
      </c>
      <c r="F45" s="2075">
        <f t="shared" ref="F45:F51" si="10">$E$25*($E45/100)</f>
        <v>6741625</v>
      </c>
      <c r="G45" s="2076">
        <v>3802</v>
      </c>
      <c r="H45" s="2077"/>
      <c r="I45" s="2074">
        <v>5000</v>
      </c>
      <c r="J45" s="2075">
        <f t="shared" ref="J45:J51" si="11">$I$25*($I45/100)</f>
        <v>8114950</v>
      </c>
      <c r="K45" s="2078">
        <v>8000</v>
      </c>
      <c r="L45" s="2079"/>
      <c r="M45" s="46"/>
      <c r="N45" s="46"/>
      <c r="O45" s="46"/>
      <c r="P45" s="46"/>
      <c r="Q45" s="46"/>
      <c r="R45" s="46"/>
    </row>
    <row r="46" spans="1:18" ht="15.75">
      <c r="A46" s="1182" t="s">
        <v>514</v>
      </c>
      <c r="B46" s="2068">
        <v>0</v>
      </c>
      <c r="C46" s="2069"/>
      <c r="D46" s="1298"/>
      <c r="E46" s="2068">
        <v>5698</v>
      </c>
      <c r="F46" s="2069">
        <f t="shared" si="10"/>
        <v>7834750</v>
      </c>
      <c r="G46" s="2070">
        <v>8201</v>
      </c>
      <c r="H46" s="2071"/>
      <c r="I46" s="2068">
        <v>10000</v>
      </c>
      <c r="J46" s="2069">
        <f t="shared" si="11"/>
        <v>16229900</v>
      </c>
      <c r="K46" s="2072">
        <v>12000</v>
      </c>
      <c r="L46" s="2073">
        <f t="shared" ref="L46:L51" si="12">$K$25*($K46/100)</f>
        <v>22116687.5</v>
      </c>
      <c r="M46" s="46"/>
      <c r="N46" s="46"/>
      <c r="O46" s="46"/>
      <c r="P46" s="46"/>
      <c r="Q46" s="46"/>
      <c r="R46" s="46"/>
    </row>
    <row r="47" spans="1:18" ht="15.75">
      <c r="A47" s="1182" t="s">
        <v>515</v>
      </c>
      <c r="B47" s="2068">
        <v>0</v>
      </c>
      <c r="C47" s="2069"/>
      <c r="D47" s="1298"/>
      <c r="E47" s="2068">
        <v>3582</v>
      </c>
      <c r="F47" s="2069">
        <f t="shared" si="10"/>
        <v>4925250</v>
      </c>
      <c r="G47" s="2070">
        <v>6020</v>
      </c>
      <c r="H47" s="2071">
        <f t="shared" ref="H47:H51" si="13">$G$25*($G47/100)</f>
        <v>8126699</v>
      </c>
      <c r="I47" s="2068">
        <v>8000</v>
      </c>
      <c r="J47" s="2069">
        <f t="shared" si="11"/>
        <v>12983920</v>
      </c>
      <c r="K47" s="2072">
        <v>10000</v>
      </c>
      <c r="L47" s="2073">
        <f t="shared" si="12"/>
        <v>18430572.916666664</v>
      </c>
      <c r="M47" s="46"/>
      <c r="N47" s="46"/>
      <c r="O47" s="46"/>
      <c r="P47" s="46"/>
      <c r="Q47" s="46"/>
      <c r="R47" s="46"/>
    </row>
    <row r="48" spans="1:18" ht="15.75">
      <c r="A48" s="1182" t="s">
        <v>516</v>
      </c>
      <c r="B48" s="2068">
        <v>0</v>
      </c>
      <c r="C48" s="2069"/>
      <c r="D48" s="1298"/>
      <c r="E48" s="2068">
        <v>0</v>
      </c>
      <c r="F48" s="2069">
        <f t="shared" si="10"/>
        <v>0</v>
      </c>
      <c r="G48" s="2070">
        <v>7900</v>
      </c>
      <c r="H48" s="2071">
        <f t="shared" si="13"/>
        <v>10664605</v>
      </c>
      <c r="I48" s="2068">
        <v>10600</v>
      </c>
      <c r="J48" s="2069">
        <f t="shared" si="11"/>
        <v>17203694</v>
      </c>
      <c r="K48" s="2072">
        <v>12190</v>
      </c>
      <c r="L48" s="2073">
        <f t="shared" si="12"/>
        <v>22466868.385416668</v>
      </c>
      <c r="M48" s="46"/>
      <c r="N48" s="46"/>
      <c r="O48" s="46"/>
      <c r="P48" s="46"/>
      <c r="Q48" s="46"/>
      <c r="R48" s="46"/>
    </row>
    <row r="49" spans="1:12" ht="15.75">
      <c r="A49" s="1182" t="s">
        <v>517</v>
      </c>
      <c r="B49" s="2068">
        <v>3814</v>
      </c>
      <c r="C49" s="2069"/>
      <c r="D49" s="1298"/>
      <c r="E49" s="2068">
        <v>3728</v>
      </c>
      <c r="F49" s="2069">
        <f t="shared" si="10"/>
        <v>5126000</v>
      </c>
      <c r="G49" s="2070">
        <v>2196</v>
      </c>
      <c r="H49" s="2071">
        <f t="shared" si="13"/>
        <v>2964490.2</v>
      </c>
      <c r="I49" s="2068">
        <v>4000</v>
      </c>
      <c r="J49" s="2069">
        <f t="shared" si="11"/>
        <v>6491960</v>
      </c>
      <c r="K49" s="2072">
        <v>6000</v>
      </c>
      <c r="L49" s="2073">
        <f t="shared" si="12"/>
        <v>11058343.75</v>
      </c>
    </row>
    <row r="50" spans="1:12" ht="15.75">
      <c r="A50" s="1182" t="s">
        <v>518</v>
      </c>
      <c r="B50" s="2068">
        <v>1638</v>
      </c>
      <c r="C50" s="2069"/>
      <c r="D50" s="1298"/>
      <c r="E50" s="2068">
        <v>1200</v>
      </c>
      <c r="F50" s="2069">
        <f t="shared" si="10"/>
        <v>1650000</v>
      </c>
      <c r="G50" s="2070">
        <v>1564</v>
      </c>
      <c r="H50" s="2071">
        <f t="shared" si="13"/>
        <v>2111321.8000000003</v>
      </c>
      <c r="I50" s="2068">
        <v>2500</v>
      </c>
      <c r="J50" s="2069">
        <f t="shared" si="11"/>
        <v>4057475</v>
      </c>
      <c r="K50" s="2072">
        <v>3500</v>
      </c>
      <c r="L50" s="2073">
        <f t="shared" si="12"/>
        <v>6450700.520833333</v>
      </c>
    </row>
    <row r="51" spans="1:12" ht="16.5" thickBot="1">
      <c r="A51" s="1182" t="s">
        <v>519</v>
      </c>
      <c r="B51" s="2056">
        <v>1228</v>
      </c>
      <c r="C51" s="2057"/>
      <c r="D51" s="1164"/>
      <c r="E51" s="2056">
        <v>802</v>
      </c>
      <c r="F51" s="2057">
        <f t="shared" si="10"/>
        <v>1102750</v>
      </c>
      <c r="G51" s="2058">
        <v>768</v>
      </c>
      <c r="H51" s="2059">
        <f t="shared" si="13"/>
        <v>1036761.6</v>
      </c>
      <c r="I51" s="2056">
        <v>1500</v>
      </c>
      <c r="J51" s="2057">
        <f t="shared" si="11"/>
        <v>2434485</v>
      </c>
      <c r="K51" s="2060">
        <v>200</v>
      </c>
      <c r="L51" s="2061">
        <f t="shared" si="12"/>
        <v>368611.45833333331</v>
      </c>
    </row>
    <row r="52" spans="1:12" ht="16.5" thickBot="1">
      <c r="A52" s="1374" t="s">
        <v>160</v>
      </c>
      <c r="B52" s="2062">
        <f>SUM(B45:C51)</f>
        <v>13467</v>
      </c>
      <c r="C52" s="2063"/>
      <c r="D52" s="1302"/>
      <c r="E52" s="2062">
        <f>SUM(E45:E51)</f>
        <v>19913</v>
      </c>
      <c r="F52" s="2063"/>
      <c r="G52" s="2064">
        <f>SUM(G45:G51)</f>
        <v>30451</v>
      </c>
      <c r="H52" s="2065"/>
      <c r="I52" s="2062">
        <f>SUM(I45:I51)</f>
        <v>41600</v>
      </c>
      <c r="J52" s="2063">
        <f>SUM(J45:J51)</f>
        <v>67516384</v>
      </c>
      <c r="K52" s="2066">
        <f>SUM(K45:K51)</f>
        <v>51890</v>
      </c>
      <c r="L52" s="2067"/>
    </row>
    <row r="53" spans="1:12">
      <c r="A53" s="2" t="s">
        <v>409</v>
      </c>
    </row>
    <row r="54" spans="1:12">
      <c r="A54" s="1340"/>
    </row>
    <row r="55" spans="1:12">
      <c r="A55" s="330" t="s">
        <v>616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</row>
  </sheetData>
  <protectedRanges>
    <protectedRange algorithmName="SHA-512" hashValue="X3AMTIg7Z12sEiBzwU2xGzX1pUkqxFzElRlHKtHR5m25CS3wbSNp1rI4wZk0TdXKxOdsDa8A0zuRorOLdW+vjQ==" saltValue="uqyUAXKF3dm8Cgzg1iwiUg==" spinCount="100000" sqref="B9:J18 B45:B52 E45:F51 I45:J52 G45:G46 G52 G47:H51 E52" name="Trend vývoje společnosti s projektem"/>
    <protectedRange algorithmName="SHA-512" hashValue="ouXdcyP0YC9Q9m7Ii43iyhSFTyyveDnEObVInb7ulsulRD+aL+aW6U3mHGqmRDeD7hHgiMctefqrdT818d97XQ==" saltValue="D+A0n2rQMZd70kUs/TQqMA==" spinCount="100000" sqref="B27:J30 J35 W36:X36 W34:W35 B32:H36 I32:I35 J32:J33 K36" name="Trend vývoje společnosti bez projektu"/>
  </protectedRanges>
  <mergeCells count="112">
    <mergeCell ref="A3:S3"/>
    <mergeCell ref="A6:A8"/>
    <mergeCell ref="B6:C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22:V22"/>
    <mergeCell ref="B23:C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J35:L36"/>
    <mergeCell ref="M35:R36"/>
    <mergeCell ref="E24:F24"/>
    <mergeCell ref="G24:H24"/>
    <mergeCell ref="I24:J24"/>
    <mergeCell ref="K24:L24"/>
    <mergeCell ref="M24:N24"/>
    <mergeCell ref="O24:P24"/>
    <mergeCell ref="Q24:R24"/>
    <mergeCell ref="G33:H33"/>
    <mergeCell ref="J33:R34"/>
    <mergeCell ref="G34:H34"/>
    <mergeCell ref="S24:T24"/>
    <mergeCell ref="U24:V24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K43:L43"/>
    <mergeCell ref="B44:C44"/>
    <mergeCell ref="E44:F44"/>
    <mergeCell ref="G44:H44"/>
    <mergeCell ref="I44:J44"/>
    <mergeCell ref="K44:L44"/>
    <mergeCell ref="A42:A44"/>
    <mergeCell ref="B42:C42"/>
    <mergeCell ref="E42:F42"/>
    <mergeCell ref="G42:H42"/>
    <mergeCell ref="I42:J42"/>
    <mergeCell ref="K42:L42"/>
    <mergeCell ref="B43:C43"/>
    <mergeCell ref="E43:F43"/>
    <mergeCell ref="G43:H43"/>
    <mergeCell ref="I43:J43"/>
    <mergeCell ref="B45:C45"/>
    <mergeCell ref="E45:F45"/>
    <mergeCell ref="G45:H45"/>
    <mergeCell ref="I45:J45"/>
    <mergeCell ref="K45:L45"/>
    <mergeCell ref="B46:C46"/>
    <mergeCell ref="E46:F46"/>
    <mergeCell ref="G46:H46"/>
    <mergeCell ref="I46:J46"/>
    <mergeCell ref="K46:L46"/>
    <mergeCell ref="B47:C47"/>
    <mergeCell ref="E47:F47"/>
    <mergeCell ref="G47:H47"/>
    <mergeCell ref="I47:J47"/>
    <mergeCell ref="K47:L47"/>
    <mergeCell ref="B48:C48"/>
    <mergeCell ref="E48:F48"/>
    <mergeCell ref="G48:H48"/>
    <mergeCell ref="I48:J48"/>
    <mergeCell ref="K48:L48"/>
    <mergeCell ref="B49:C49"/>
    <mergeCell ref="E49:F49"/>
    <mergeCell ref="G49:H49"/>
    <mergeCell ref="I49:J49"/>
    <mergeCell ref="K49:L49"/>
    <mergeCell ref="B50:C50"/>
    <mergeCell ref="E50:F50"/>
    <mergeCell ref="G50:H50"/>
    <mergeCell ref="I50:J50"/>
    <mergeCell ref="K50:L50"/>
    <mergeCell ref="B51:C51"/>
    <mergeCell ref="E51:F51"/>
    <mergeCell ref="G51:H51"/>
    <mergeCell ref="I51:J51"/>
    <mergeCell ref="K51:L51"/>
    <mergeCell ref="B52:C52"/>
    <mergeCell ref="E52:F52"/>
    <mergeCell ref="G52:H52"/>
    <mergeCell ref="I52:J52"/>
    <mergeCell ref="K52:L52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G52"/>
  <sheetViews>
    <sheetView showGridLines="0" zoomScaleNormal="100" zoomScaleSheetLayoutView="90" workbookViewId="0">
      <selection activeCell="O26" sqref="O26"/>
    </sheetView>
  </sheetViews>
  <sheetFormatPr defaultRowHeight="15"/>
  <cols>
    <col min="1" max="1" width="59" customWidth="1"/>
    <col min="2" max="2" width="38.85546875" style="1" customWidth="1"/>
    <col min="3" max="4" width="18.7109375" customWidth="1"/>
    <col min="5" max="5" width="23.7109375" customWidth="1"/>
    <col min="6" max="6" width="28.7109375" customWidth="1"/>
    <col min="7" max="7" width="19.140625" customWidth="1"/>
    <col min="8" max="8" width="26" customWidth="1"/>
    <col min="9" max="9" width="17.5703125" bestFit="1" customWidth="1"/>
    <col min="10" max="10" width="11.42578125" bestFit="1" customWidth="1"/>
    <col min="11" max="11" width="24.85546875" customWidth="1"/>
    <col min="12" max="12" width="17" bestFit="1" customWidth="1"/>
    <col min="13" max="13" width="15.42578125" bestFit="1" customWidth="1"/>
    <col min="14" max="14" width="17" bestFit="1" customWidth="1"/>
    <col min="15" max="15" width="15.42578125" bestFit="1" customWidth="1"/>
  </cols>
  <sheetData>
    <row r="1" spans="1:7" ht="15.75" customHeight="1">
      <c r="A1" s="1674" t="str">
        <f>'Položkový rozpočet projektu'!A1:A1</f>
        <v>Modelový projekt: "Zvýšení technologické vybavenosti společnosti Šroub &amp; Matka, spol. s r.o. v Ostravě"</v>
      </c>
      <c r="B1" s="1674"/>
    </row>
    <row r="2" spans="1:7" ht="15.75" thickBot="1">
      <c r="E2" s="1491" t="s">
        <v>154</v>
      </c>
      <c r="F2" s="1689" t="s">
        <v>486</v>
      </c>
    </row>
    <row r="3" spans="1:7" ht="18" customHeight="1" thickBot="1">
      <c r="A3" s="1678" t="s">
        <v>605</v>
      </c>
      <c r="B3" s="1679"/>
      <c r="C3" s="1679"/>
      <c r="D3" s="1680"/>
      <c r="E3" s="1491" t="s">
        <v>601</v>
      </c>
      <c r="F3" s="1689"/>
    </row>
    <row r="4" spans="1:7" ht="18" customHeight="1" thickBot="1">
      <c r="A4" s="779"/>
      <c r="B4"/>
      <c r="D4" s="87" t="s">
        <v>84</v>
      </c>
    </row>
    <row r="5" spans="1:7" ht="15.75" thickBot="1">
      <c r="C5" s="210" t="s">
        <v>119</v>
      </c>
      <c r="D5" s="206" t="s">
        <v>120</v>
      </c>
      <c r="E5" s="1683" t="s">
        <v>74</v>
      </c>
      <c r="F5" s="1687" t="s">
        <v>83</v>
      </c>
      <c r="G5" s="1685" t="s">
        <v>208</v>
      </c>
    </row>
    <row r="6" spans="1:7" ht="16.5" thickBot="1">
      <c r="A6" s="1492" t="s">
        <v>68</v>
      </c>
      <c r="B6" s="209" t="s">
        <v>70</v>
      </c>
      <c r="C6" s="1501">
        <v>2025</v>
      </c>
      <c r="D6" s="1502">
        <v>2025</v>
      </c>
      <c r="E6" s="1684"/>
      <c r="F6" s="1688"/>
      <c r="G6" s="1686"/>
    </row>
    <row r="7" spans="1:7">
      <c r="A7" s="452" t="s">
        <v>123</v>
      </c>
      <c r="B7" s="144" t="s">
        <v>71</v>
      </c>
      <c r="C7" s="232">
        <f>D7*1.21</f>
        <v>0</v>
      </c>
      <c r="D7" s="229">
        <v>0</v>
      </c>
      <c r="E7" s="64">
        <f>C7</f>
        <v>0</v>
      </c>
      <c r="F7" s="64"/>
    </row>
    <row r="8" spans="1:7">
      <c r="A8" s="452" t="s">
        <v>57</v>
      </c>
      <c r="B8" s="144" t="s">
        <v>71</v>
      </c>
      <c r="C8" s="232">
        <f>D8*1.21</f>
        <v>0</v>
      </c>
      <c r="D8" s="390">
        <v>0</v>
      </c>
      <c r="E8" s="64">
        <f t="shared" ref="E8:E12" si="0">C8</f>
        <v>0</v>
      </c>
      <c r="F8" s="64"/>
    </row>
    <row r="9" spans="1:7">
      <c r="A9" s="452" t="s">
        <v>307</v>
      </c>
      <c r="B9" s="144" t="s">
        <v>71</v>
      </c>
      <c r="C9" s="232">
        <f>D9*1.21</f>
        <v>0</v>
      </c>
      <c r="D9" s="390">
        <v>0</v>
      </c>
      <c r="E9" s="64">
        <f t="shared" si="0"/>
        <v>0</v>
      </c>
    </row>
    <row r="10" spans="1:7">
      <c r="A10" s="453" t="s">
        <v>58</v>
      </c>
      <c r="B10" s="144" t="s">
        <v>72</v>
      </c>
      <c r="C10" s="232">
        <v>0</v>
      </c>
      <c r="D10" s="390">
        <v>0</v>
      </c>
      <c r="E10" s="64">
        <f t="shared" si="0"/>
        <v>0</v>
      </c>
    </row>
    <row r="11" spans="1:7">
      <c r="A11" s="453" t="s">
        <v>118</v>
      </c>
      <c r="B11" s="144" t="s">
        <v>72</v>
      </c>
      <c r="C11" s="232">
        <v>0</v>
      </c>
      <c r="D11" s="390">
        <v>0</v>
      </c>
      <c r="E11" s="64">
        <f t="shared" si="0"/>
        <v>0</v>
      </c>
    </row>
    <row r="12" spans="1:7" ht="15.75" thickBot="1">
      <c r="A12" s="453" t="s">
        <v>53</v>
      </c>
      <c r="B12" s="144" t="s">
        <v>72</v>
      </c>
      <c r="C12" s="232">
        <v>0</v>
      </c>
      <c r="D12" s="390">
        <v>0</v>
      </c>
      <c r="E12" s="64">
        <f t="shared" si="0"/>
        <v>0</v>
      </c>
    </row>
    <row r="13" spans="1:7" ht="16.5" thickBot="1">
      <c r="A13" s="1492" t="s">
        <v>65</v>
      </c>
      <c r="B13" s="1497" t="s">
        <v>34</v>
      </c>
      <c r="C13" s="1498">
        <f>SUM(C7:C12)</f>
        <v>0</v>
      </c>
      <c r="D13" s="1498">
        <f>SUM(D7:D12)</f>
        <v>0</v>
      </c>
      <c r="E13" s="64">
        <f>SUM(E7:E12)</f>
        <v>0</v>
      </c>
      <c r="F13" s="68">
        <f>C13</f>
        <v>0</v>
      </c>
      <c r="G13" s="777">
        <f>E8-D8</f>
        <v>0</v>
      </c>
    </row>
    <row r="14" spans="1:7">
      <c r="A14" s="1682" t="s">
        <v>308</v>
      </c>
      <c r="B14" s="1682"/>
      <c r="C14" s="1682"/>
      <c r="D14" s="1603">
        <f>D11+D12</f>
        <v>0</v>
      </c>
      <c r="E14" s="64"/>
      <c r="F14" s="11"/>
    </row>
    <row r="15" spans="1:7">
      <c r="A15" s="778"/>
      <c r="B15" s="778"/>
      <c r="C15" s="778"/>
      <c r="D15" s="128"/>
      <c r="E15" s="64"/>
      <c r="F15" s="11"/>
    </row>
    <row r="16" spans="1:7" ht="15.75" thickBot="1">
      <c r="A16" s="20"/>
      <c r="D16" s="87" t="s">
        <v>84</v>
      </c>
      <c r="E16" s="8"/>
    </row>
    <row r="17" spans="1:7" ht="15.75" thickBot="1">
      <c r="A17" s="20"/>
      <c r="C17" s="210" t="s">
        <v>119</v>
      </c>
      <c r="D17" s="206" t="s">
        <v>120</v>
      </c>
      <c r="E17" s="1683" t="s">
        <v>74</v>
      </c>
      <c r="F17" s="1687" t="s">
        <v>83</v>
      </c>
      <c r="G17" s="1685" t="s">
        <v>208</v>
      </c>
    </row>
    <row r="18" spans="1:7" ht="16.5" thickBot="1">
      <c r="A18" s="1493" t="s">
        <v>69</v>
      </c>
      <c r="B18" s="454" t="s">
        <v>70</v>
      </c>
      <c r="C18" s="1501">
        <v>2025</v>
      </c>
      <c r="D18" s="1502">
        <v>2025</v>
      </c>
      <c r="E18" s="1684"/>
      <c r="F18" s="1688"/>
      <c r="G18" s="1686"/>
    </row>
    <row r="19" spans="1:7">
      <c r="A19" s="452" t="s">
        <v>122</v>
      </c>
      <c r="B19" s="144" t="s">
        <v>71</v>
      </c>
      <c r="C19" s="212">
        <f>D19*1.21</f>
        <v>0</v>
      </c>
      <c r="D19" s="229">
        <v>0</v>
      </c>
      <c r="E19" s="64">
        <f t="shared" ref="E19:E28" si="1">C19</f>
        <v>0</v>
      </c>
      <c r="F19" s="75">
        <v>0</v>
      </c>
    </row>
    <row r="20" spans="1:7">
      <c r="A20" s="452" t="s">
        <v>57</v>
      </c>
      <c r="B20" s="144" t="s">
        <v>71</v>
      </c>
      <c r="C20" s="212">
        <f>D20*1.21</f>
        <v>16856761.68</v>
      </c>
      <c r="D20" s="229">
        <f>'Položkový rozpočet projektu'!F7</f>
        <v>13931208</v>
      </c>
      <c r="E20" s="75">
        <f t="shared" si="1"/>
        <v>16856761.68</v>
      </c>
      <c r="F20" s="74">
        <f>'Položkový rozpočet projektu'!J7</f>
        <v>16856761.68</v>
      </c>
    </row>
    <row r="21" spans="1:7" ht="15.75" thickBot="1">
      <c r="A21" s="452" t="s">
        <v>307</v>
      </c>
      <c r="B21" s="144" t="s">
        <v>71</v>
      </c>
      <c r="C21" s="212">
        <f>D21*1.21</f>
        <v>0</v>
      </c>
      <c r="D21" s="229">
        <f>'Položkový rozpočet projektu'!F14</f>
        <v>0</v>
      </c>
      <c r="E21" s="64">
        <f t="shared" si="1"/>
        <v>0</v>
      </c>
      <c r="F21" s="65">
        <f>'Položkový rozpočet projektu'!J14</f>
        <v>0</v>
      </c>
    </row>
    <row r="22" spans="1:7" ht="15.75" thickBot="1">
      <c r="A22" s="456" t="s">
        <v>426</v>
      </c>
      <c r="B22" s="518" t="s">
        <v>71</v>
      </c>
      <c r="C22" s="210">
        <f>SUM(C19:C21)</f>
        <v>16856761.68</v>
      </c>
      <c r="D22" s="139">
        <f>SUM(D19:D21)</f>
        <v>13931208</v>
      </c>
      <c r="E22" s="75">
        <f t="shared" si="1"/>
        <v>16856761.68</v>
      </c>
      <c r="F22" s="74">
        <f>'Položkový rozpočet projektu'!J16</f>
        <v>16856761.68</v>
      </c>
    </row>
    <row r="23" spans="1:7">
      <c r="A23" s="457" t="s">
        <v>304</v>
      </c>
      <c r="B23" s="455" t="s">
        <v>72</v>
      </c>
      <c r="C23" s="215">
        <f>'Položkový rozpočet projektu'!E31</f>
        <v>2925553.6799999997</v>
      </c>
      <c r="D23" s="229">
        <v>0</v>
      </c>
      <c r="E23" s="64">
        <f t="shared" si="1"/>
        <v>2925553.6799999997</v>
      </c>
      <c r="F23" s="75">
        <f>'Položkový rozpočet projektu'!C30+'Položkový rozpočet projektu'!C31</f>
        <v>2925553.6799999997</v>
      </c>
    </row>
    <row r="24" spans="1:7">
      <c r="A24" s="458" t="s">
        <v>58</v>
      </c>
      <c r="B24" s="1" t="s">
        <v>72</v>
      </c>
      <c r="C24" s="213">
        <f>D24*1.21</f>
        <v>3630</v>
      </c>
      <c r="D24" s="230">
        <f>'Položkový rozpočet projektu'!F20</f>
        <v>3000</v>
      </c>
      <c r="E24" s="64">
        <f t="shared" si="1"/>
        <v>3630</v>
      </c>
      <c r="F24" s="64">
        <f>'Položkový rozpočet projektu'!J20</f>
        <v>3630</v>
      </c>
    </row>
    <row r="25" spans="1:7">
      <c r="A25" s="453" t="s">
        <v>157</v>
      </c>
      <c r="B25" s="144" t="s">
        <v>72</v>
      </c>
      <c r="C25" s="213">
        <f t="shared" ref="C25:C26" si="2">D25*1.21</f>
        <v>157300</v>
      </c>
      <c r="D25" s="1505">
        <f>'Položkový rozpočet projektu'!F21</f>
        <v>130000</v>
      </c>
      <c r="E25" s="64">
        <f t="shared" si="1"/>
        <v>157300</v>
      </c>
      <c r="F25" s="66">
        <f>'Položkový rozpočet projektu'!J21</f>
        <v>157300</v>
      </c>
    </row>
    <row r="26" spans="1:7" ht="15.75" thickBot="1">
      <c r="A26" s="453" t="s">
        <v>53</v>
      </c>
      <c r="B26" s="144" t="s">
        <v>72</v>
      </c>
      <c r="C26" s="213">
        <f t="shared" si="2"/>
        <v>84700</v>
      </c>
      <c r="D26" s="1505">
        <f>'Položkový rozpočet projektu'!F22</f>
        <v>70000</v>
      </c>
      <c r="E26" s="64">
        <f t="shared" si="1"/>
        <v>84700</v>
      </c>
      <c r="F26" s="64">
        <f>'Položkový rozpočet projektu'!J22</f>
        <v>84700</v>
      </c>
    </row>
    <row r="27" spans="1:7" ht="15.75" thickBot="1">
      <c r="A27" s="456" t="s">
        <v>427</v>
      </c>
      <c r="B27" s="211" t="s">
        <v>72</v>
      </c>
      <c r="C27" s="214">
        <f>SUM(C23:C26)</f>
        <v>3171183.6799999997</v>
      </c>
      <c r="D27" s="231">
        <f>SUM(D24:D26)</f>
        <v>203000</v>
      </c>
      <c r="E27" s="85">
        <f t="shared" si="1"/>
        <v>3171183.6799999997</v>
      </c>
      <c r="F27" s="74">
        <f>'Položkový rozpočet projektu'!F17</f>
        <v>3171183.6799999997</v>
      </c>
    </row>
    <row r="28" spans="1:7" ht="16.5" thickBot="1">
      <c r="A28" s="1493" t="s">
        <v>66</v>
      </c>
      <c r="B28" s="536" t="s">
        <v>34</v>
      </c>
      <c r="C28" s="1496">
        <f>SUM(C19:C21,C24:C26)</f>
        <v>17102391.68</v>
      </c>
      <c r="D28" s="1496">
        <f>D22+D27</f>
        <v>14134208</v>
      </c>
      <c r="E28" s="85">
        <f t="shared" si="1"/>
        <v>17102391.68</v>
      </c>
      <c r="F28" s="68">
        <f>D22+C27</f>
        <v>17102391.68</v>
      </c>
      <c r="G28" s="777">
        <f>'Položkový rozpočet projektu'!C35</f>
        <v>2968183.6799999997</v>
      </c>
    </row>
    <row r="29" spans="1:7">
      <c r="A29" s="1682" t="s">
        <v>308</v>
      </c>
      <c r="B29" s="1682"/>
      <c r="C29" s="1682"/>
      <c r="D29" s="1506">
        <f>D25+D26</f>
        <v>200000</v>
      </c>
    </row>
    <row r="30" spans="1:7" ht="15.75" thickBot="1">
      <c r="A30" s="20"/>
      <c r="B30" s="459"/>
      <c r="C30" s="143"/>
      <c r="D30" s="129"/>
      <c r="F30" s="14" t="s">
        <v>82</v>
      </c>
    </row>
    <row r="31" spans="1:7" ht="16.5" thickBot="1">
      <c r="A31" s="1494" t="s">
        <v>205</v>
      </c>
      <c r="B31" s="437"/>
      <c r="C31" s="143"/>
      <c r="D31" s="86">
        <f>D28-D29</f>
        <v>13934208</v>
      </c>
      <c r="F31" s="68">
        <f>'Položkový rozpočet projektu'!L36</f>
        <v>13934208</v>
      </c>
    </row>
    <row r="32" spans="1:7">
      <c r="A32" s="140"/>
      <c r="B32" s="140"/>
      <c r="C32" s="143"/>
    </row>
    <row r="33" spans="1:7" ht="15.75" thickBot="1">
      <c r="A33" s="140"/>
      <c r="B33" s="140"/>
      <c r="C33" s="143"/>
      <c r="D33" s="87" t="s">
        <v>84</v>
      </c>
    </row>
    <row r="34" spans="1:7" ht="15.75" customHeight="1" thickBot="1">
      <c r="A34" s="20"/>
      <c r="C34" s="210" t="s">
        <v>119</v>
      </c>
      <c r="D34" s="233" t="s">
        <v>120</v>
      </c>
      <c r="E34" s="1683" t="s">
        <v>74</v>
      </c>
      <c r="F34" s="1685" t="s">
        <v>209</v>
      </c>
      <c r="G34" s="1685" t="s">
        <v>208</v>
      </c>
    </row>
    <row r="35" spans="1:7" ht="16.5" thickBot="1">
      <c r="A35" s="1499" t="s">
        <v>59</v>
      </c>
      <c r="B35" s="1500" t="s">
        <v>70</v>
      </c>
      <c r="C35" s="1501">
        <v>2025</v>
      </c>
      <c r="D35" s="1502">
        <v>2025</v>
      </c>
      <c r="E35" s="1684"/>
      <c r="F35" s="1686"/>
      <c r="G35" s="1686"/>
    </row>
    <row r="36" spans="1:7">
      <c r="A36" s="452" t="s">
        <v>122</v>
      </c>
      <c r="B36" s="144" t="s">
        <v>71</v>
      </c>
      <c r="C36" s="212">
        <f t="shared" ref="C36:D38" si="3">C19-C7</f>
        <v>0</v>
      </c>
      <c r="D36" s="234">
        <f t="shared" si="3"/>
        <v>0</v>
      </c>
      <c r="E36" s="64">
        <f t="shared" ref="E36:E44" si="4">C36</f>
        <v>0</v>
      </c>
    </row>
    <row r="37" spans="1:7">
      <c r="A37" s="452" t="s">
        <v>57</v>
      </c>
      <c r="B37" s="144" t="s">
        <v>71</v>
      </c>
      <c r="C37" s="212">
        <f t="shared" si="3"/>
        <v>16856761.68</v>
      </c>
      <c r="D37" s="234">
        <f t="shared" si="3"/>
        <v>13931208</v>
      </c>
      <c r="E37" s="64">
        <f t="shared" si="4"/>
        <v>16856761.68</v>
      </c>
    </row>
    <row r="38" spans="1:7" ht="15.75" thickBot="1">
      <c r="A38" s="452" t="s">
        <v>307</v>
      </c>
      <c r="B38" s="144" t="s">
        <v>71</v>
      </c>
      <c r="C38" s="212">
        <f t="shared" si="3"/>
        <v>0</v>
      </c>
      <c r="D38" s="234">
        <f t="shared" si="3"/>
        <v>0</v>
      </c>
      <c r="E38" s="64">
        <f t="shared" si="4"/>
        <v>0</v>
      </c>
    </row>
    <row r="39" spans="1:7" ht="15.75" thickBot="1">
      <c r="A39" s="456" t="s">
        <v>428</v>
      </c>
      <c r="B39" s="211" t="s">
        <v>71</v>
      </c>
      <c r="C39" s="210">
        <f>SUM(C36:C38)</f>
        <v>16856761.68</v>
      </c>
      <c r="D39" s="138">
        <f>SUM(D36:D38)</f>
        <v>13931208</v>
      </c>
      <c r="E39" s="75">
        <f t="shared" si="4"/>
        <v>16856761.68</v>
      </c>
      <c r="F39" s="64">
        <f>'Položkový rozpočet projektu'!F16</f>
        <v>13931208</v>
      </c>
      <c r="G39" s="64">
        <f>C40</f>
        <v>2925553.6799999997</v>
      </c>
    </row>
    <row r="40" spans="1:7">
      <c r="A40" s="457" t="s">
        <v>304</v>
      </c>
      <c r="B40" s="455" t="s">
        <v>72</v>
      </c>
      <c r="C40" s="215">
        <f>C23-G13</f>
        <v>2925553.6799999997</v>
      </c>
      <c r="D40" s="234">
        <f>D23-G13</f>
        <v>0</v>
      </c>
      <c r="E40" s="64">
        <f t="shared" si="4"/>
        <v>2925553.6799999997</v>
      </c>
    </row>
    <row r="41" spans="1:7">
      <c r="A41" s="458" t="s">
        <v>58</v>
      </c>
      <c r="B41" s="1" t="s">
        <v>72</v>
      </c>
      <c r="C41" s="213">
        <f t="shared" ref="C41:D43" si="5">C24-C10</f>
        <v>3630</v>
      </c>
      <c r="D41" s="235">
        <f t="shared" si="5"/>
        <v>3000</v>
      </c>
      <c r="E41" s="64">
        <f t="shared" si="4"/>
        <v>3630</v>
      </c>
    </row>
    <row r="42" spans="1:7">
      <c r="A42" s="453" t="s">
        <v>157</v>
      </c>
      <c r="B42" s="144" t="s">
        <v>72</v>
      </c>
      <c r="C42" s="213">
        <f t="shared" si="5"/>
        <v>157300</v>
      </c>
      <c r="D42" s="1507">
        <f t="shared" si="5"/>
        <v>130000</v>
      </c>
      <c r="E42" s="64">
        <f t="shared" si="4"/>
        <v>157300</v>
      </c>
    </row>
    <row r="43" spans="1:7" ht="15.75" thickBot="1">
      <c r="A43" s="453" t="s">
        <v>53</v>
      </c>
      <c r="B43" s="144" t="s">
        <v>72</v>
      </c>
      <c r="C43" s="213">
        <f t="shared" si="5"/>
        <v>84700</v>
      </c>
      <c r="D43" s="1507">
        <f t="shared" si="5"/>
        <v>70000</v>
      </c>
      <c r="E43" s="64">
        <f t="shared" si="4"/>
        <v>84700</v>
      </c>
    </row>
    <row r="44" spans="1:7" ht="15.75" thickBot="1">
      <c r="A44" s="456" t="s">
        <v>156</v>
      </c>
      <c r="B44" s="211" t="s">
        <v>72</v>
      </c>
      <c r="C44" s="214">
        <f>SUM(C40:C43)</f>
        <v>3171183.6799999997</v>
      </c>
      <c r="D44" s="535">
        <f>D27-0</f>
        <v>203000</v>
      </c>
      <c r="E44" s="85">
        <f t="shared" si="4"/>
        <v>3171183.6799999997</v>
      </c>
    </row>
    <row r="45" spans="1:7" ht="16.5" thickBot="1">
      <c r="A45" s="1503" t="s">
        <v>207</v>
      </c>
      <c r="B45" s="1500" t="s">
        <v>34</v>
      </c>
      <c r="C45" s="1504">
        <f>C39+C41+C42+C43</f>
        <v>17102391.68</v>
      </c>
      <c r="D45" s="1504">
        <f>D39+D44</f>
        <v>14134208</v>
      </c>
      <c r="F45" s="68">
        <f>C28-C13</f>
        <v>17102391.68</v>
      </c>
      <c r="G45" s="777">
        <f>G28-G13</f>
        <v>2968183.6799999997</v>
      </c>
    </row>
    <row r="46" spans="1:7" ht="15.75" thickBot="1">
      <c r="A46" s="1682" t="s">
        <v>308</v>
      </c>
      <c r="B46" s="1682"/>
      <c r="C46" s="1682"/>
      <c r="D46" s="1506">
        <f>D42+D43</f>
        <v>200000</v>
      </c>
      <c r="F46" s="68">
        <f>D28-D13-D42-D43</f>
        <v>13934208</v>
      </c>
    </row>
    <row r="47" spans="1:7" ht="15.75" thickBot="1">
      <c r="A47" s="11"/>
      <c r="B47" s="67"/>
      <c r="C47" s="11"/>
      <c r="D47" s="11"/>
    </row>
    <row r="48" spans="1:7" ht="16.5" thickBot="1">
      <c r="A48" s="1494" t="s">
        <v>310</v>
      </c>
      <c r="B48" s="437"/>
      <c r="C48" s="143"/>
      <c r="D48" s="1495">
        <f>D45-D46</f>
        <v>13934208</v>
      </c>
      <c r="F48" s="68">
        <f>'Položkový rozpočet projektu'!L36</f>
        <v>13934208</v>
      </c>
    </row>
    <row r="50" spans="1:2" s="237" customFormat="1">
      <c r="A50" s="8" t="s">
        <v>132</v>
      </c>
      <c r="B50" s="288">
        <f>D13/D31</f>
        <v>0</v>
      </c>
    </row>
    <row r="51" spans="1:2" s="237" customFormat="1">
      <c r="A51" s="236"/>
      <c r="B51" s="236"/>
    </row>
    <row r="52" spans="1:2">
      <c r="A52" s="1390" t="s">
        <v>667</v>
      </c>
      <c r="B52" s="11"/>
    </row>
  </sheetData>
  <protectedRanges>
    <protectedRange algorithmName="SHA-512" hashValue="M655BYlIOz9txA7uWlYi5mZhKt8jtj+xgTnBgRir7/4gUUc6OHluZFnR7EnOX3lFqyO4kvPa0xBNjgC+88KkQA==" saltValue="KEgmzXS4sRRwhIAaGZmpcg==" spinCount="100000" sqref="G28 C7:D12" name="Nulová varianta"/>
    <protectedRange algorithmName="SHA-512" hashValue="nDqYk7cTV1Mz4/ZkhzfaV/4c2Uy3OYjgtwmHIIcQmvMmutV3I+5ENQo+HJWeAQWeYL9gggfPpgrt7rEBDPsc0g==" saltValue="8lqU7Tp17EOpi6GIl2V1eA==" spinCount="100000" sqref="C19:D21 C23:D26" name="Investiční varianta"/>
  </protectedRanges>
  <mergeCells count="15">
    <mergeCell ref="A46:C46"/>
    <mergeCell ref="A1:B1"/>
    <mergeCell ref="E34:E35"/>
    <mergeCell ref="F34:F35"/>
    <mergeCell ref="G5:G6"/>
    <mergeCell ref="E5:E6"/>
    <mergeCell ref="F5:F6"/>
    <mergeCell ref="E17:E18"/>
    <mergeCell ref="F17:F18"/>
    <mergeCell ref="G17:G18"/>
    <mergeCell ref="G34:G35"/>
    <mergeCell ref="A14:C14"/>
    <mergeCell ref="A29:C29"/>
    <mergeCell ref="A3:D3"/>
    <mergeCell ref="F2:F3"/>
  </mergeCells>
  <pageMargins left="0.7" right="0.7" top="0.78740157499999996" bottom="0.78740157499999996" header="0.3" footer="0.3"/>
  <pageSetup paperSize="9" scale="83" orientation="landscape" r:id="rId1"/>
  <ignoredErrors>
    <ignoredError sqref="C20" formula="1"/>
    <ignoredError sqref="D1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G52"/>
  <sheetViews>
    <sheetView showGridLines="0" zoomScaleNormal="100" zoomScaleSheetLayoutView="90" workbookViewId="0">
      <selection activeCell="A53" sqref="A53"/>
    </sheetView>
  </sheetViews>
  <sheetFormatPr defaultRowHeight="15"/>
  <cols>
    <col min="1" max="1" width="63.42578125" customWidth="1"/>
    <col min="2" max="2" width="38.5703125" style="1" customWidth="1"/>
    <col min="3" max="4" width="18.7109375" customWidth="1"/>
    <col min="5" max="5" width="23.7109375" customWidth="1"/>
    <col min="6" max="6" width="28.7109375" customWidth="1"/>
    <col min="7" max="7" width="15.42578125" bestFit="1" customWidth="1"/>
    <col min="8" max="8" width="15" customWidth="1"/>
    <col min="9" max="9" width="15.42578125" bestFit="1" customWidth="1"/>
    <col min="10" max="10" width="17.5703125" bestFit="1" customWidth="1"/>
    <col min="11" max="11" width="11.42578125" bestFit="1" customWidth="1"/>
    <col min="12" max="12" width="24.85546875" customWidth="1"/>
    <col min="13" max="13" width="17" bestFit="1" customWidth="1"/>
    <col min="14" max="14" width="15.42578125" bestFit="1" customWidth="1"/>
    <col min="15" max="15" width="17" bestFit="1" customWidth="1"/>
    <col min="16" max="16" width="15.42578125" bestFit="1" customWidth="1"/>
  </cols>
  <sheetData>
    <row r="1" spans="1:7" ht="15.75" customHeight="1">
      <c r="A1" s="1674" t="str">
        <f>'Položkový rozpočet projektu'!A1:A1</f>
        <v>Modelový projekt: "Zvýšení technologické vybavenosti společnosti Šroub &amp; Matka, spol. s r.o. v Ostravě"</v>
      </c>
      <c r="B1" s="1674"/>
      <c r="C1" s="1602"/>
    </row>
    <row r="2" spans="1:7" ht="15.75" thickBot="1">
      <c r="E2" s="1491" t="s">
        <v>154</v>
      </c>
      <c r="F2" s="1689" t="s">
        <v>486</v>
      </c>
    </row>
    <row r="3" spans="1:7" ht="18" customHeight="1" thickBot="1">
      <c r="A3" s="1690" t="s">
        <v>212</v>
      </c>
      <c r="B3" s="1691"/>
      <c r="C3" s="1692"/>
      <c r="E3" s="1491" t="s">
        <v>601</v>
      </c>
      <c r="F3" s="1689"/>
    </row>
    <row r="4" spans="1:7" ht="16.5" thickBot="1">
      <c r="A4" s="779"/>
      <c r="B4"/>
      <c r="D4" s="87" t="s">
        <v>84</v>
      </c>
    </row>
    <row r="5" spans="1:7" ht="15.75" thickBot="1">
      <c r="C5" s="210" t="s">
        <v>119</v>
      </c>
      <c r="D5" s="206" t="s">
        <v>120</v>
      </c>
      <c r="E5" s="1683" t="s">
        <v>74</v>
      </c>
      <c r="F5" s="1687" t="s">
        <v>83</v>
      </c>
      <c r="G5" s="1685" t="s">
        <v>208</v>
      </c>
    </row>
    <row r="6" spans="1:7" ht="15.75" customHeight="1" thickBot="1">
      <c r="A6" s="1492" t="s">
        <v>68</v>
      </c>
      <c r="B6" s="1508" t="s">
        <v>70</v>
      </c>
      <c r="C6" s="1501">
        <v>2025</v>
      </c>
      <c r="D6" s="1501">
        <v>2025</v>
      </c>
      <c r="E6" s="1684"/>
      <c r="F6" s="1688"/>
      <c r="G6" s="1686"/>
    </row>
    <row r="7" spans="1:7">
      <c r="A7" s="452" t="s">
        <v>123</v>
      </c>
      <c r="B7" s="144" t="s">
        <v>71</v>
      </c>
      <c r="C7" s="232">
        <f>D7*1.21</f>
        <v>0</v>
      </c>
      <c r="D7" s="229">
        <v>0</v>
      </c>
      <c r="E7" s="64">
        <f>C7</f>
        <v>0</v>
      </c>
      <c r="F7" s="64"/>
    </row>
    <row r="8" spans="1:7">
      <c r="A8" s="452" t="s">
        <v>57</v>
      </c>
      <c r="B8" s="144" t="s">
        <v>71</v>
      </c>
      <c r="C8" s="232">
        <f>D8*1.21</f>
        <v>0</v>
      </c>
      <c r="D8" s="390">
        <v>0</v>
      </c>
      <c r="E8" s="64">
        <f t="shared" ref="E8:E12" si="0">C8</f>
        <v>0</v>
      </c>
      <c r="F8" s="64"/>
    </row>
    <row r="9" spans="1:7">
      <c r="A9" s="452" t="s">
        <v>307</v>
      </c>
      <c r="B9" s="144" t="s">
        <v>71</v>
      </c>
      <c r="C9" s="232">
        <f>D9*1.21</f>
        <v>0</v>
      </c>
      <c r="D9" s="390">
        <v>0</v>
      </c>
      <c r="E9" s="64">
        <f t="shared" si="0"/>
        <v>0</v>
      </c>
    </row>
    <row r="10" spans="1:7">
      <c r="A10" s="453" t="s">
        <v>58</v>
      </c>
      <c r="B10" s="144" t="s">
        <v>72</v>
      </c>
      <c r="C10" s="232">
        <v>0</v>
      </c>
      <c r="D10" s="390">
        <v>0</v>
      </c>
      <c r="E10" s="64">
        <f t="shared" si="0"/>
        <v>0</v>
      </c>
    </row>
    <row r="11" spans="1:7">
      <c r="A11" s="453" t="s">
        <v>118</v>
      </c>
      <c r="B11" s="144" t="s">
        <v>72</v>
      </c>
      <c r="C11" s="232">
        <v>0</v>
      </c>
      <c r="D11" s="390">
        <v>0</v>
      </c>
      <c r="E11" s="64">
        <f t="shared" si="0"/>
        <v>0</v>
      </c>
    </row>
    <row r="12" spans="1:7" ht="15.75" thickBot="1">
      <c r="A12" s="453" t="s">
        <v>53</v>
      </c>
      <c r="B12" s="144" t="s">
        <v>72</v>
      </c>
      <c r="C12" s="232">
        <v>0</v>
      </c>
      <c r="D12" s="390">
        <v>0</v>
      </c>
      <c r="E12" s="64">
        <f t="shared" si="0"/>
        <v>0</v>
      </c>
    </row>
    <row r="13" spans="1:7" ht="16.5" thickBot="1">
      <c r="A13" s="1492" t="s">
        <v>65</v>
      </c>
      <c r="B13" s="1497" t="s">
        <v>34</v>
      </c>
      <c r="C13" s="1498">
        <f>SUM(C7:C12)</f>
        <v>0</v>
      </c>
      <c r="D13" s="1498">
        <f>SUM(D7:D12)</f>
        <v>0</v>
      </c>
      <c r="E13" s="64">
        <f>SUM(E7:E12)</f>
        <v>0</v>
      </c>
      <c r="F13" s="68">
        <f>C13</f>
        <v>0</v>
      </c>
      <c r="G13" s="777">
        <f>E8-D8</f>
        <v>0</v>
      </c>
    </row>
    <row r="14" spans="1:7">
      <c r="A14" s="1682" t="s">
        <v>308</v>
      </c>
      <c r="B14" s="1682"/>
      <c r="C14" s="1682"/>
      <c r="D14" s="1603">
        <f>D11+D12</f>
        <v>0</v>
      </c>
      <c r="E14" s="64"/>
      <c r="F14" s="11"/>
    </row>
    <row r="15" spans="1:7">
      <c r="A15" s="778"/>
      <c r="B15" s="778"/>
      <c r="C15" s="778"/>
      <c r="D15" s="128"/>
      <c r="E15" s="64"/>
      <c r="F15" s="11"/>
    </row>
    <row r="16" spans="1:7" ht="15.75" thickBot="1">
      <c r="A16" s="20"/>
      <c r="D16" s="87" t="s">
        <v>84</v>
      </c>
      <c r="E16" s="8"/>
    </row>
    <row r="17" spans="1:7" ht="15.75" thickBot="1">
      <c r="A17" s="20"/>
      <c r="C17" s="210" t="s">
        <v>119</v>
      </c>
      <c r="D17" s="206" t="s">
        <v>120</v>
      </c>
      <c r="E17" s="1683" t="s">
        <v>74</v>
      </c>
      <c r="F17" s="1687" t="s">
        <v>83</v>
      </c>
      <c r="G17" s="1685" t="s">
        <v>208</v>
      </c>
    </row>
    <row r="18" spans="1:7" ht="15.75" customHeight="1" thickBot="1">
      <c r="A18" s="1493" t="s">
        <v>69</v>
      </c>
      <c r="B18" s="1509" t="s">
        <v>70</v>
      </c>
      <c r="C18" s="1501">
        <v>2025</v>
      </c>
      <c r="D18" s="1501">
        <v>2025</v>
      </c>
      <c r="E18" s="1684"/>
      <c r="F18" s="1688"/>
      <c r="G18" s="1686"/>
    </row>
    <row r="19" spans="1:7">
      <c r="A19" s="452" t="s">
        <v>122</v>
      </c>
      <c r="B19" s="144" t="s">
        <v>71</v>
      </c>
      <c r="C19" s="212">
        <f>D19*1.21</f>
        <v>0</v>
      </c>
      <c r="D19" s="229">
        <v>0</v>
      </c>
      <c r="E19" s="64">
        <f t="shared" ref="E19:E28" si="1">C19</f>
        <v>0</v>
      </c>
      <c r="F19" s="75">
        <v>0</v>
      </c>
    </row>
    <row r="20" spans="1:7">
      <c r="A20" s="452" t="s">
        <v>57</v>
      </c>
      <c r="B20" s="144" t="s">
        <v>71</v>
      </c>
      <c r="C20" s="212">
        <f>D20*1.21</f>
        <v>16856761.68</v>
      </c>
      <c r="D20" s="229">
        <f>'Položkový rozpočet projektu'!F7</f>
        <v>13931208</v>
      </c>
      <c r="E20" s="75">
        <f t="shared" si="1"/>
        <v>16856761.68</v>
      </c>
      <c r="F20" s="74">
        <f>'Položkový rozpočet projektu'!J7</f>
        <v>16856761.68</v>
      </c>
    </row>
    <row r="21" spans="1:7" ht="15.75" thickBot="1">
      <c r="A21" s="452" t="s">
        <v>307</v>
      </c>
      <c r="B21" s="144" t="s">
        <v>71</v>
      </c>
      <c r="C21" s="212">
        <f>D21*1.21</f>
        <v>0</v>
      </c>
      <c r="D21" s="229">
        <f>'Položkový rozpočet projektu'!F14</f>
        <v>0</v>
      </c>
      <c r="E21" s="64">
        <f t="shared" si="1"/>
        <v>0</v>
      </c>
      <c r="F21" s="65">
        <f>'Položkový rozpočet projektu'!J14</f>
        <v>0</v>
      </c>
    </row>
    <row r="22" spans="1:7" ht="15.75" thickBot="1">
      <c r="A22" s="456" t="s">
        <v>426</v>
      </c>
      <c r="B22" s="211" t="s">
        <v>71</v>
      </c>
      <c r="C22" s="210">
        <f>SUM(C19:C21)</f>
        <v>16856761.68</v>
      </c>
      <c r="D22" s="139">
        <f>SUM(D19:D21)</f>
        <v>13931208</v>
      </c>
      <c r="E22" s="75">
        <f t="shared" si="1"/>
        <v>16856761.68</v>
      </c>
      <c r="F22" s="85">
        <f>'Položkový rozpočet projektu'!J16</f>
        <v>16856761.68</v>
      </c>
    </row>
    <row r="23" spans="1:7">
      <c r="A23" s="457" t="s">
        <v>304</v>
      </c>
      <c r="B23" s="455" t="s">
        <v>72</v>
      </c>
      <c r="C23" s="215">
        <f>'Položkový rozpočet projektu'!E31</f>
        <v>2925553.6799999997</v>
      </c>
      <c r="D23" s="229">
        <v>0</v>
      </c>
      <c r="E23" s="64">
        <f t="shared" si="1"/>
        <v>2925553.6799999997</v>
      </c>
      <c r="F23" s="75">
        <f>'Položkový rozpočet projektu'!C30+'Položkový rozpočet projektu'!C31</f>
        <v>2925553.6799999997</v>
      </c>
    </row>
    <row r="24" spans="1:7">
      <c r="A24" s="458" t="s">
        <v>58</v>
      </c>
      <c r="B24" s="1" t="s">
        <v>72</v>
      </c>
      <c r="C24" s="213">
        <f>D24*1.21</f>
        <v>3630</v>
      </c>
      <c r="D24" s="230">
        <f>'Položkový rozpočet projektu'!F20</f>
        <v>3000</v>
      </c>
      <c r="E24" s="64">
        <f t="shared" si="1"/>
        <v>3630</v>
      </c>
      <c r="F24" s="64">
        <f>'Položkový rozpočet projektu'!J20</f>
        <v>3630</v>
      </c>
    </row>
    <row r="25" spans="1:7">
      <c r="A25" s="453" t="s">
        <v>157</v>
      </c>
      <c r="B25" s="144" t="s">
        <v>72</v>
      </c>
      <c r="C25" s="213">
        <f t="shared" ref="C25:C26" si="2">D25*1.21</f>
        <v>157300</v>
      </c>
      <c r="D25" s="1505">
        <f>'Položkový rozpočet projektu'!F21</f>
        <v>130000</v>
      </c>
      <c r="E25" s="64">
        <f t="shared" si="1"/>
        <v>157300</v>
      </c>
      <c r="F25" s="66">
        <f>'Položkový rozpočet projektu'!J21</f>
        <v>157300</v>
      </c>
    </row>
    <row r="26" spans="1:7" ht="15.75" thickBot="1">
      <c r="A26" s="453" t="s">
        <v>53</v>
      </c>
      <c r="B26" s="144" t="s">
        <v>72</v>
      </c>
      <c r="C26" s="213">
        <f t="shared" si="2"/>
        <v>84700</v>
      </c>
      <c r="D26" s="1505">
        <f>'Položkový rozpočet projektu'!F22</f>
        <v>70000</v>
      </c>
      <c r="E26" s="64">
        <f t="shared" si="1"/>
        <v>84700</v>
      </c>
      <c r="F26" s="64">
        <f>'Položkový rozpočet projektu'!J22</f>
        <v>84700</v>
      </c>
    </row>
    <row r="27" spans="1:7" ht="15.75" thickBot="1">
      <c r="A27" s="456" t="s">
        <v>427</v>
      </c>
      <c r="B27" s="211" t="s">
        <v>72</v>
      </c>
      <c r="C27" s="214">
        <f>SUM(C23:C26)</f>
        <v>3171183.6799999997</v>
      </c>
      <c r="D27" s="231">
        <f>SUM(D24:D26)</f>
        <v>203000</v>
      </c>
      <c r="E27" s="85">
        <f t="shared" si="1"/>
        <v>3171183.6799999997</v>
      </c>
      <c r="F27" s="85">
        <f>'Položkový rozpočet projektu'!F17</f>
        <v>3171183.6799999997</v>
      </c>
    </row>
    <row r="28" spans="1:7" ht="16.5" thickBot="1">
      <c r="A28" s="1493" t="s">
        <v>66</v>
      </c>
      <c r="B28" s="1364" t="s">
        <v>34</v>
      </c>
      <c r="C28" s="1496">
        <f>SUM(C19:C21,C24:C26)</f>
        <v>17102391.68</v>
      </c>
      <c r="D28" s="1496">
        <f>D22+D27</f>
        <v>14134208</v>
      </c>
      <c r="E28" s="85">
        <f t="shared" si="1"/>
        <v>17102391.68</v>
      </c>
      <c r="F28" s="68">
        <f>D22+C27</f>
        <v>17102391.68</v>
      </c>
      <c r="G28" s="777">
        <f>'Položkový rozpočet projektu'!C35</f>
        <v>2968183.6799999997</v>
      </c>
    </row>
    <row r="29" spans="1:7">
      <c r="A29" s="1682" t="s">
        <v>308</v>
      </c>
      <c r="B29" s="1682"/>
      <c r="C29" s="1682"/>
      <c r="D29" s="1506">
        <f>D25+D26</f>
        <v>200000</v>
      </c>
    </row>
    <row r="30" spans="1:7" ht="15.75" thickBot="1">
      <c r="A30" s="20"/>
      <c r="B30" s="459"/>
      <c r="C30" s="143"/>
      <c r="D30" s="129"/>
      <c r="F30" s="14" t="s">
        <v>82</v>
      </c>
    </row>
    <row r="31" spans="1:7" ht="16.5" thickBot="1">
      <c r="A31" s="1494" t="s">
        <v>205</v>
      </c>
      <c r="B31" s="437"/>
      <c r="C31" s="143"/>
      <c r="D31" s="1495">
        <f>D28-D29</f>
        <v>13934208</v>
      </c>
      <c r="F31" s="68">
        <f>'Položkový rozpočet projektu'!L36</f>
        <v>13934208</v>
      </c>
    </row>
    <row r="33" spans="1:7" ht="15.75" thickBot="1">
      <c r="A33" s="140"/>
      <c r="B33" s="140"/>
      <c r="C33" s="143"/>
      <c r="D33" s="87" t="s">
        <v>84</v>
      </c>
    </row>
    <row r="34" spans="1:7" ht="15.75" thickBot="1">
      <c r="A34" s="20"/>
      <c r="C34" s="210" t="s">
        <v>119</v>
      </c>
      <c r="D34" s="233" t="s">
        <v>120</v>
      </c>
      <c r="E34" s="1683" t="s">
        <v>74</v>
      </c>
      <c r="F34" s="1685" t="s">
        <v>209</v>
      </c>
      <c r="G34" s="1685" t="s">
        <v>208</v>
      </c>
    </row>
    <row r="35" spans="1:7" ht="16.5" thickBot="1">
      <c r="A35" s="1510" t="s">
        <v>59</v>
      </c>
      <c r="B35" s="1500" t="s">
        <v>70</v>
      </c>
      <c r="C35" s="1501">
        <v>2025</v>
      </c>
      <c r="D35" s="1502">
        <v>2025</v>
      </c>
      <c r="E35" s="1684"/>
      <c r="F35" s="1686"/>
      <c r="G35" s="1686"/>
    </row>
    <row r="36" spans="1:7">
      <c r="A36" s="452" t="s">
        <v>122</v>
      </c>
      <c r="B36" s="144" t="s">
        <v>71</v>
      </c>
      <c r="C36" s="212">
        <f t="shared" ref="C36:D38" si="3">C19-C7</f>
        <v>0</v>
      </c>
      <c r="D36" s="234">
        <f t="shared" si="3"/>
        <v>0</v>
      </c>
      <c r="E36" s="64">
        <f t="shared" ref="E36:E44" si="4">C36</f>
        <v>0</v>
      </c>
    </row>
    <row r="37" spans="1:7">
      <c r="A37" s="452" t="s">
        <v>57</v>
      </c>
      <c r="B37" s="144" t="s">
        <v>71</v>
      </c>
      <c r="C37" s="212">
        <f t="shared" si="3"/>
        <v>16856761.68</v>
      </c>
      <c r="D37" s="234">
        <f t="shared" si="3"/>
        <v>13931208</v>
      </c>
      <c r="E37" s="64">
        <f t="shared" si="4"/>
        <v>16856761.68</v>
      </c>
    </row>
    <row r="38" spans="1:7" ht="15.75" thickBot="1">
      <c r="A38" s="452" t="s">
        <v>307</v>
      </c>
      <c r="B38" s="144" t="s">
        <v>71</v>
      </c>
      <c r="C38" s="212">
        <f t="shared" si="3"/>
        <v>0</v>
      </c>
      <c r="D38" s="234">
        <f t="shared" si="3"/>
        <v>0</v>
      </c>
      <c r="E38" s="64">
        <f t="shared" si="4"/>
        <v>0</v>
      </c>
    </row>
    <row r="39" spans="1:7" ht="15.75" thickBot="1">
      <c r="A39" s="456" t="s">
        <v>428</v>
      </c>
      <c r="B39" s="211" t="s">
        <v>71</v>
      </c>
      <c r="C39" s="210">
        <f>SUM(C36:C38)</f>
        <v>16856761.68</v>
      </c>
      <c r="D39" s="138">
        <f>SUM(D36:D38)</f>
        <v>13931208</v>
      </c>
      <c r="E39" s="75">
        <f t="shared" si="4"/>
        <v>16856761.68</v>
      </c>
      <c r="F39" s="64">
        <f>'Položkový rozpočet projektu'!F16</f>
        <v>13931208</v>
      </c>
      <c r="G39" s="64">
        <f>C40</f>
        <v>2925553.6799999997</v>
      </c>
    </row>
    <row r="40" spans="1:7">
      <c r="A40" s="457" t="s">
        <v>304</v>
      </c>
      <c r="B40" s="455" t="s">
        <v>72</v>
      </c>
      <c r="C40" s="215">
        <f>C23-G13</f>
        <v>2925553.6799999997</v>
      </c>
      <c r="D40" s="234">
        <f>D23-G13</f>
        <v>0</v>
      </c>
      <c r="E40" s="64">
        <f t="shared" si="4"/>
        <v>2925553.6799999997</v>
      </c>
    </row>
    <row r="41" spans="1:7">
      <c r="A41" s="458" t="s">
        <v>58</v>
      </c>
      <c r="B41" s="1" t="s">
        <v>72</v>
      </c>
      <c r="C41" s="213">
        <f t="shared" ref="C41:D43" si="5">C24-C10</f>
        <v>3630</v>
      </c>
      <c r="D41" s="235">
        <f t="shared" si="5"/>
        <v>3000</v>
      </c>
      <c r="E41" s="64">
        <f t="shared" si="4"/>
        <v>3630</v>
      </c>
    </row>
    <row r="42" spans="1:7">
      <c r="A42" s="453" t="s">
        <v>157</v>
      </c>
      <c r="B42" s="144" t="s">
        <v>72</v>
      </c>
      <c r="C42" s="213">
        <f t="shared" si="5"/>
        <v>157300</v>
      </c>
      <c r="D42" s="1507">
        <f t="shared" si="5"/>
        <v>130000</v>
      </c>
      <c r="E42" s="64">
        <f t="shared" si="4"/>
        <v>157300</v>
      </c>
    </row>
    <row r="43" spans="1:7" ht="15.75" thickBot="1">
      <c r="A43" s="453" t="s">
        <v>53</v>
      </c>
      <c r="B43" s="144" t="s">
        <v>72</v>
      </c>
      <c r="C43" s="213">
        <f t="shared" si="5"/>
        <v>84700</v>
      </c>
      <c r="D43" s="1507">
        <f t="shared" si="5"/>
        <v>70000</v>
      </c>
      <c r="E43" s="64">
        <f t="shared" si="4"/>
        <v>84700</v>
      </c>
    </row>
    <row r="44" spans="1:7" ht="15.75" thickBot="1">
      <c r="A44" s="456" t="s">
        <v>156</v>
      </c>
      <c r="B44" s="211" t="s">
        <v>72</v>
      </c>
      <c r="C44" s="214">
        <f>SUM(C40:C43)</f>
        <v>3171183.6799999997</v>
      </c>
      <c r="D44" s="535">
        <f>D27-0</f>
        <v>203000</v>
      </c>
      <c r="E44" s="85">
        <f t="shared" si="4"/>
        <v>3171183.6799999997</v>
      </c>
    </row>
    <row r="45" spans="1:7" ht="16.5" thickBot="1">
      <c r="A45" s="1503" t="s">
        <v>207</v>
      </c>
      <c r="B45" s="1500" t="s">
        <v>34</v>
      </c>
      <c r="C45" s="1504">
        <f>C39+C41+C42+C43</f>
        <v>17102391.68</v>
      </c>
      <c r="D45" s="1504">
        <f>D39+D44</f>
        <v>14134208</v>
      </c>
      <c r="F45" s="68">
        <f>C28-C13</f>
        <v>17102391.68</v>
      </c>
      <c r="G45" s="777">
        <f>G28-G13</f>
        <v>2968183.6799999997</v>
      </c>
    </row>
    <row r="46" spans="1:7" ht="15.75" thickBot="1">
      <c r="A46" s="1693" t="s">
        <v>308</v>
      </c>
      <c r="B46" s="1693"/>
      <c r="C46" s="1693"/>
      <c r="D46" s="1506">
        <f>D42+D43</f>
        <v>200000</v>
      </c>
      <c r="F46" s="68">
        <f>D28-D13-D42-D43</f>
        <v>13934208</v>
      </c>
    </row>
    <row r="47" spans="1:7" ht="15.75" thickBot="1">
      <c r="A47" s="11"/>
      <c r="B47" s="67"/>
      <c r="C47" s="11"/>
      <c r="D47" s="11"/>
    </row>
    <row r="48" spans="1:7" ht="15.75" thickBot="1">
      <c r="A48" s="137" t="s">
        <v>310</v>
      </c>
      <c r="B48" s="437"/>
      <c r="C48" s="143"/>
      <c r="D48" s="86">
        <f>D45-D46</f>
        <v>13934208</v>
      </c>
      <c r="F48" s="68">
        <f>'Položkový rozpočet projektu'!L36</f>
        <v>13934208</v>
      </c>
    </row>
    <row r="50" spans="1:2">
      <c r="A50" s="8" t="s">
        <v>132</v>
      </c>
      <c r="B50" s="288">
        <f>D13/D31</f>
        <v>0</v>
      </c>
    </row>
    <row r="52" spans="1:2">
      <c r="A52" s="1390" t="s">
        <v>667</v>
      </c>
    </row>
  </sheetData>
  <protectedRanges>
    <protectedRange algorithmName="SHA-512" hashValue="M655BYlIOz9txA7uWlYi5mZhKt8jtj+xgTnBgRir7/4gUUc6OHluZFnR7EnOX3lFqyO4kvPa0xBNjgC+88KkQA==" saltValue="KEgmzXS4sRRwhIAaGZmpcg==" spinCount="100000" sqref="G28 C7:D12" name="Nulová varianta"/>
    <protectedRange algorithmName="SHA-512" hashValue="nDqYk7cTV1Mz4/ZkhzfaV/4c2Uy3OYjgtwmHIIcQmvMmutV3I+5ENQo+HJWeAQWeYL9gggfPpgrt7rEBDPsc0g==" saltValue="8lqU7Tp17EOpi6GIl2V1eA==" spinCount="100000" sqref="C19:D21 C23:D26" name="Investiční varianta"/>
  </protectedRanges>
  <mergeCells count="15">
    <mergeCell ref="G34:G35"/>
    <mergeCell ref="G5:G6"/>
    <mergeCell ref="A14:C14"/>
    <mergeCell ref="E17:E18"/>
    <mergeCell ref="F17:F18"/>
    <mergeCell ref="G17:G18"/>
    <mergeCell ref="A3:C3"/>
    <mergeCell ref="F2:F3"/>
    <mergeCell ref="A1:B1"/>
    <mergeCell ref="A46:C46"/>
    <mergeCell ref="E5:E6"/>
    <mergeCell ref="F5:F6"/>
    <mergeCell ref="A29:C29"/>
    <mergeCell ref="E34:E35"/>
    <mergeCell ref="F34:F35"/>
  </mergeCells>
  <pageMargins left="0.7" right="0.7" top="0.78740157499999996" bottom="0.78740157499999996" header="0.3" footer="0.3"/>
  <pageSetup paperSize="9" scale="83" orientation="landscape" r:id="rId1"/>
  <ignoredErrors>
    <ignoredError sqref="D1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X108"/>
  <sheetViews>
    <sheetView showGridLines="0" tabSelected="1" zoomScaleNormal="100" workbookViewId="0">
      <selection activeCell="A11" sqref="A11"/>
    </sheetView>
  </sheetViews>
  <sheetFormatPr defaultColWidth="9.140625" defaultRowHeight="15"/>
  <cols>
    <col min="1" max="1" width="116.42578125" style="2" customWidth="1"/>
    <col min="2" max="2" width="9.85546875" style="2" bestFit="1" customWidth="1"/>
    <col min="3" max="3" width="14.85546875" style="2" customWidth="1"/>
    <col min="4" max="4" width="12.140625" style="2" bestFit="1" customWidth="1"/>
    <col min="5" max="13" width="11.5703125" style="2" customWidth="1"/>
    <col min="14" max="14" width="22.7109375" style="2" customWidth="1"/>
    <col min="15" max="15" width="19" style="2" customWidth="1"/>
    <col min="16" max="16" width="16.7109375" style="2" customWidth="1"/>
    <col min="17" max="17" width="5.42578125" style="2" customWidth="1"/>
    <col min="18" max="18" width="55" style="2" customWidth="1"/>
    <col min="19" max="19" width="20.85546875" style="2" customWidth="1"/>
    <col min="20" max="20" width="27" style="2" customWidth="1"/>
    <col min="21" max="21" width="8.140625" style="2" customWidth="1"/>
    <col min="22" max="22" width="32.28515625" style="2" customWidth="1"/>
    <col min="23" max="23" width="20.42578125" style="2" customWidth="1"/>
    <col min="24" max="24" width="29.140625" style="2" customWidth="1"/>
    <col min="25" max="16384" width="9.140625" style="2"/>
  </cols>
  <sheetData>
    <row r="1" spans="1:24">
      <c r="A1" s="1674" t="str">
        <f>'Položkový rozpočet projektu'!A1:A1</f>
        <v>Modelový projekt: "Zvýšení technologické vybavenosti společnosti Šroub &amp; Matka, spol. s r.o. v Ostravě"</v>
      </c>
      <c r="B1" s="1674"/>
      <c r="C1" s="3"/>
    </row>
    <row r="2" spans="1:24" ht="15.75" thickBot="1">
      <c r="A2"/>
      <c r="B2"/>
      <c r="C2" s="3"/>
    </row>
    <row r="3" spans="1:24" ht="16.5" thickBot="1">
      <c r="A3" s="1384" t="s">
        <v>415</v>
      </c>
      <c r="B3"/>
      <c r="C3" s="593" t="s">
        <v>358</v>
      </c>
      <c r="D3" s="522"/>
      <c r="E3" s="522"/>
      <c r="F3" s="522"/>
      <c r="G3" s="522"/>
      <c r="H3" s="593"/>
      <c r="R3" s="605" t="s">
        <v>571</v>
      </c>
      <c r="S3" s="606"/>
      <c r="T3" s="606"/>
      <c r="U3" s="605"/>
      <c r="V3" s="1457"/>
    </row>
    <row r="4" spans="1:24" ht="15.75" thickBot="1"/>
    <row r="5" spans="1:24" ht="15" customHeight="1" thickBot="1">
      <c r="A5" s="1517" t="s">
        <v>206</v>
      </c>
      <c r="B5" s="1518" t="s">
        <v>14</v>
      </c>
      <c r="C5" s="340">
        <v>2025</v>
      </c>
      <c r="D5" s="1519">
        <v>2025</v>
      </c>
      <c r="E5" s="1519">
        <v>2026</v>
      </c>
      <c r="F5" s="1519">
        <v>2027</v>
      </c>
      <c r="G5" s="1519">
        <v>2028</v>
      </c>
      <c r="H5" s="1519">
        <v>2029</v>
      </c>
      <c r="I5" s="1519">
        <v>2030</v>
      </c>
      <c r="J5" s="1519">
        <v>2031</v>
      </c>
      <c r="K5" s="1519">
        <v>2032</v>
      </c>
      <c r="L5" s="1519">
        <v>2033</v>
      </c>
      <c r="M5" s="1519">
        <v>2034</v>
      </c>
      <c r="O5" s="493" t="s">
        <v>188</v>
      </c>
      <c r="R5" s="45" t="s">
        <v>560</v>
      </c>
      <c r="S5" s="331"/>
    </row>
    <row r="6" spans="1:24" ht="15" customHeight="1" thickBot="1">
      <c r="A6" s="76"/>
      <c r="B6" s="77"/>
      <c r="C6" s="176" t="s">
        <v>643</v>
      </c>
      <c r="D6" s="33" t="s">
        <v>40</v>
      </c>
      <c r="E6" s="33" t="s">
        <v>40</v>
      </c>
      <c r="F6" s="33" t="s">
        <v>40</v>
      </c>
      <c r="G6" s="33" t="s">
        <v>40</v>
      </c>
      <c r="H6" s="33" t="s">
        <v>40</v>
      </c>
      <c r="I6" s="33" t="s">
        <v>40</v>
      </c>
      <c r="J6" s="33" t="s">
        <v>40</v>
      </c>
      <c r="K6" s="33" t="s">
        <v>40</v>
      </c>
      <c r="L6" s="33" t="s">
        <v>40</v>
      </c>
      <c r="M6" s="72" t="s">
        <v>40</v>
      </c>
      <c r="P6" s="491"/>
      <c r="Q6" s="491"/>
      <c r="R6" s="47">
        <v>2025</v>
      </c>
      <c r="S6" s="25" t="s">
        <v>1</v>
      </c>
      <c r="T6" s="59" t="s">
        <v>233</v>
      </c>
      <c r="V6" s="45" t="s">
        <v>355</v>
      </c>
      <c r="W6" s="760"/>
      <c r="X6" s="1524"/>
    </row>
    <row r="7" spans="1:24" ht="15" customHeight="1" thickBot="1">
      <c r="A7" s="53" t="s">
        <v>309</v>
      </c>
      <c r="B7" s="54" t="s">
        <v>2</v>
      </c>
      <c r="C7" s="73" t="s">
        <v>644</v>
      </c>
      <c r="D7" s="70">
        <v>1</v>
      </c>
      <c r="E7" s="70">
        <v>12</v>
      </c>
      <c r="F7" s="71">
        <v>12</v>
      </c>
      <c r="G7" s="71">
        <v>12</v>
      </c>
      <c r="H7" s="71">
        <v>12</v>
      </c>
      <c r="I7" s="71">
        <v>12</v>
      </c>
      <c r="J7" s="71">
        <v>12</v>
      </c>
      <c r="K7" s="71">
        <v>12</v>
      </c>
      <c r="L7" s="71">
        <v>12</v>
      </c>
      <c r="M7" s="148">
        <v>12</v>
      </c>
      <c r="P7" s="491"/>
      <c r="Q7" s="491"/>
      <c r="R7" s="603" t="s">
        <v>39</v>
      </c>
      <c r="S7" s="612">
        <f>'Položkový rozpočet projektu'!F23</f>
        <v>17102391.68</v>
      </c>
      <c r="T7" s="608">
        <f>S7/$S$7</f>
        <v>1</v>
      </c>
      <c r="V7" s="644">
        <v>2025</v>
      </c>
      <c r="W7" s="629" t="s">
        <v>1</v>
      </c>
      <c r="X7" s="627" t="s">
        <v>233</v>
      </c>
    </row>
    <row r="8" spans="1:24" ht="15" customHeight="1" thickBot="1">
      <c r="A8" s="31"/>
      <c r="B8" s="78"/>
      <c r="C8" s="35"/>
      <c r="D8" s="37"/>
      <c r="E8" s="37"/>
      <c r="F8" s="34"/>
      <c r="G8" s="34"/>
      <c r="H8" s="34"/>
      <c r="I8" s="34"/>
      <c r="J8" s="34"/>
      <c r="K8" s="34"/>
      <c r="L8" s="34"/>
      <c r="M8" s="156"/>
      <c r="P8" s="491"/>
      <c r="Q8" s="491"/>
      <c r="R8" s="386" t="s">
        <v>480</v>
      </c>
      <c r="S8" s="613">
        <f>'Položkový rozpočet projektu'!F24</f>
        <v>4875922.8</v>
      </c>
      <c r="T8" s="609">
        <f>S8/$S$7</f>
        <v>0.28510180863779633</v>
      </c>
      <c r="V8" s="1525" t="s">
        <v>67</v>
      </c>
      <c r="W8" s="1526">
        <f>'Investiční náklady_vznik'!D13</f>
        <v>0</v>
      </c>
      <c r="X8" s="1527" t="e">
        <f>W8/$W$8</f>
        <v>#DIV/0!</v>
      </c>
    </row>
    <row r="9" spans="1:24" ht="15" customHeight="1" thickBot="1">
      <c r="A9" s="29" t="s">
        <v>99</v>
      </c>
      <c r="B9" s="25" t="s">
        <v>1</v>
      </c>
      <c r="C9" s="100">
        <f>SUM(C10:C11)</f>
        <v>17102391.68</v>
      </c>
      <c r="D9" s="124">
        <f>SUM(D10:D12)</f>
        <v>-4029538.7602499998</v>
      </c>
      <c r="E9" s="124">
        <f>SUM(E10:E12)</f>
        <v>0</v>
      </c>
      <c r="F9" s="124">
        <f t="shared" ref="F9:M9" si="0">SUM(F10:F12)</f>
        <v>0</v>
      </c>
      <c r="G9" s="124">
        <f t="shared" si="0"/>
        <v>0</v>
      </c>
      <c r="H9" s="124">
        <f t="shared" si="0"/>
        <v>0</v>
      </c>
      <c r="I9" s="124">
        <f t="shared" si="0"/>
        <v>0</v>
      </c>
      <c r="J9" s="124">
        <f t="shared" si="0"/>
        <v>0</v>
      </c>
      <c r="K9" s="124">
        <f t="shared" si="0"/>
        <v>0</v>
      </c>
      <c r="L9" s="124">
        <f t="shared" si="0"/>
        <v>0</v>
      </c>
      <c r="M9" s="124">
        <f t="shared" si="0"/>
        <v>0</v>
      </c>
      <c r="O9" s="501">
        <f>SUM(C9:M9)</f>
        <v>13072852.919749999</v>
      </c>
      <c r="P9" s="491"/>
      <c r="Q9" s="491"/>
      <c r="R9" s="602" t="s">
        <v>232</v>
      </c>
      <c r="S9" s="614">
        <f>S7-S8</f>
        <v>12226468.879999999</v>
      </c>
      <c r="T9" s="610">
        <f>S9/$S$7</f>
        <v>0.71489819136220367</v>
      </c>
      <c r="V9" s="621" t="s">
        <v>245</v>
      </c>
      <c r="W9" s="630">
        <v>0</v>
      </c>
      <c r="X9" s="628">
        <f>W9/$S$15</f>
        <v>0</v>
      </c>
    </row>
    <row r="10" spans="1:24" ht="15" customHeight="1" thickBot="1">
      <c r="A10" s="162" t="s">
        <v>606</v>
      </c>
      <c r="B10" s="165" t="s">
        <v>1</v>
      </c>
      <c r="C10" s="160">
        <f>S28</f>
        <v>13931208</v>
      </c>
      <c r="D10" s="159">
        <f>-S45</f>
        <v>-4875922.8</v>
      </c>
      <c r="E10" s="159">
        <v>0</v>
      </c>
      <c r="F10" s="153">
        <v>0</v>
      </c>
      <c r="G10" s="153">
        <v>0</v>
      </c>
      <c r="H10" s="153">
        <v>0</v>
      </c>
      <c r="I10" s="153">
        <v>0</v>
      </c>
      <c r="J10" s="153">
        <v>0</v>
      </c>
      <c r="K10" s="153">
        <v>0</v>
      </c>
      <c r="L10" s="153">
        <v>0</v>
      </c>
      <c r="M10" s="158">
        <v>0</v>
      </c>
      <c r="O10" s="500">
        <f>SUM(C10:M10)</f>
        <v>9055285.1999999993</v>
      </c>
      <c r="P10" s="491"/>
      <c r="Q10" s="491"/>
      <c r="R10" s="604" t="s">
        <v>234</v>
      </c>
      <c r="S10" s="615">
        <f>S8+S9</f>
        <v>17102391.68</v>
      </c>
      <c r="T10" s="611">
        <f>T8+T9</f>
        <v>1</v>
      </c>
      <c r="V10" s="622" t="s">
        <v>246</v>
      </c>
      <c r="W10" s="631">
        <f>'Investiční náklady_vznik'!D13</f>
        <v>0</v>
      </c>
      <c r="X10" s="628">
        <f>W10/$S$15</f>
        <v>0</v>
      </c>
    </row>
    <row r="11" spans="1:24" ht="15" customHeight="1">
      <c r="A11" s="163" t="s">
        <v>607</v>
      </c>
      <c r="B11" s="167" t="s">
        <v>1</v>
      </c>
      <c r="C11" s="495">
        <f>S41</f>
        <v>3171183.6799999997</v>
      </c>
      <c r="D11" s="168">
        <v>0</v>
      </c>
      <c r="E11" s="168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  <c r="M11" s="170">
        <v>0</v>
      </c>
      <c r="O11" s="500">
        <f>SUM(C11:M11)</f>
        <v>3171183.6799999997</v>
      </c>
      <c r="P11" s="491"/>
      <c r="Q11" s="491"/>
      <c r="V11" s="621" t="s">
        <v>247</v>
      </c>
      <c r="W11" s="632">
        <v>0</v>
      </c>
      <c r="X11" s="628">
        <f>W11/$S$15</f>
        <v>0</v>
      </c>
    </row>
    <row r="12" spans="1:24" ht="15" customHeight="1" thickBot="1">
      <c r="A12" s="1610" t="s">
        <v>645</v>
      </c>
      <c r="B12" s="1611" t="s">
        <v>1</v>
      </c>
      <c r="C12" s="284">
        <v>0</v>
      </c>
      <c r="D12" s="1612">
        <f>'Provozní výnosy'!D29</f>
        <v>846384.03974999988</v>
      </c>
      <c r="E12" s="1612">
        <v>0</v>
      </c>
      <c r="F12" s="1612">
        <v>0</v>
      </c>
      <c r="G12" s="1612">
        <v>0</v>
      </c>
      <c r="H12" s="1612">
        <v>0</v>
      </c>
      <c r="I12" s="1612">
        <v>0</v>
      </c>
      <c r="J12" s="1612">
        <v>0</v>
      </c>
      <c r="K12" s="1612">
        <v>0</v>
      </c>
      <c r="L12" s="1612">
        <v>0</v>
      </c>
      <c r="M12" s="1612">
        <v>0</v>
      </c>
      <c r="O12" s="500"/>
      <c r="P12" s="491"/>
      <c r="Q12" s="491"/>
      <c r="V12" s="621"/>
      <c r="W12" s="632"/>
      <c r="X12" s="628"/>
    </row>
    <row r="13" spans="1:24" ht="15" customHeight="1" thickBot="1">
      <c r="A13" s="29" t="s">
        <v>100</v>
      </c>
      <c r="B13" s="25" t="s">
        <v>1</v>
      </c>
      <c r="C13" s="100">
        <f t="shared" ref="C13" si="1">SUM(C14:C16)</f>
        <v>0</v>
      </c>
      <c r="D13" s="124">
        <f t="shared" ref="D13:M13" si="2">SUM(D14:D16)</f>
        <v>4875922.8</v>
      </c>
      <c r="E13" s="124">
        <f t="shared" si="2"/>
        <v>0</v>
      </c>
      <c r="F13" s="124">
        <f t="shared" si="2"/>
        <v>0</v>
      </c>
      <c r="G13" s="124">
        <f t="shared" si="2"/>
        <v>0</v>
      </c>
      <c r="H13" s="124">
        <f t="shared" si="2"/>
        <v>0</v>
      </c>
      <c r="I13" s="124">
        <f t="shared" si="2"/>
        <v>0</v>
      </c>
      <c r="J13" s="124">
        <f t="shared" si="2"/>
        <v>0</v>
      </c>
      <c r="K13" s="124">
        <f t="shared" si="2"/>
        <v>0</v>
      </c>
      <c r="L13" s="124">
        <f t="shared" si="2"/>
        <v>0</v>
      </c>
      <c r="M13" s="122">
        <f t="shared" si="2"/>
        <v>0</v>
      </c>
      <c r="O13" s="501">
        <f>SUM(C13:M13)</f>
        <v>4875922.8</v>
      </c>
      <c r="P13" s="491"/>
      <c r="Q13" s="491"/>
      <c r="R13" s="45" t="s">
        <v>252</v>
      </c>
      <c r="S13" s="45"/>
      <c r="V13" s="623" t="s">
        <v>248</v>
      </c>
      <c r="W13" s="633">
        <v>0</v>
      </c>
      <c r="X13" s="628">
        <f>W13/$S$15</f>
        <v>0</v>
      </c>
    </row>
    <row r="14" spans="1:24" ht="15" customHeight="1" thickBot="1">
      <c r="A14" s="162" t="s">
        <v>432</v>
      </c>
      <c r="B14" s="165" t="s">
        <v>1</v>
      </c>
      <c r="C14" s="495">
        <f>S44</f>
        <v>0</v>
      </c>
      <c r="D14" s="168">
        <v>0</v>
      </c>
      <c r="E14" s="168">
        <v>0</v>
      </c>
      <c r="F14" s="169">
        <v>0</v>
      </c>
      <c r="G14" s="169">
        <v>0</v>
      </c>
      <c r="H14" s="169">
        <v>0</v>
      </c>
      <c r="I14" s="169">
        <v>0</v>
      </c>
      <c r="J14" s="169">
        <v>0</v>
      </c>
      <c r="K14" s="169">
        <v>0</v>
      </c>
      <c r="L14" s="169">
        <v>0</v>
      </c>
      <c r="M14" s="170">
        <v>0</v>
      </c>
      <c r="O14" s="501">
        <f>SUM(C14:M14)</f>
        <v>0</v>
      </c>
      <c r="P14" s="492"/>
      <c r="Q14" s="492"/>
      <c r="R14" s="47">
        <v>2025</v>
      </c>
      <c r="S14" s="25" t="s">
        <v>1</v>
      </c>
      <c r="T14" s="59" t="s">
        <v>233</v>
      </c>
      <c r="V14" s="621" t="s">
        <v>249</v>
      </c>
      <c r="W14" s="630">
        <v>0</v>
      </c>
      <c r="X14" s="628">
        <f>W14/$S$15</f>
        <v>0</v>
      </c>
    </row>
    <row r="15" spans="1:24" ht="15" customHeight="1" thickBot="1">
      <c r="A15" s="164" t="s">
        <v>101</v>
      </c>
      <c r="B15" s="166" t="s">
        <v>1</v>
      </c>
      <c r="C15" s="495">
        <v>0</v>
      </c>
      <c r="D15" s="168">
        <v>0</v>
      </c>
      <c r="E15" s="168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169">
        <v>0</v>
      </c>
      <c r="L15" s="169">
        <v>0</v>
      </c>
      <c r="M15" s="170">
        <v>0</v>
      </c>
      <c r="O15" s="500">
        <f>SUM(C15:M15)</f>
        <v>0</v>
      </c>
      <c r="P15" s="491"/>
      <c r="Q15" s="491"/>
      <c r="R15" s="603" t="s">
        <v>39</v>
      </c>
      <c r="S15" s="612">
        <f>'Položkový rozpočet projektu'!F23</f>
        <v>17102391.68</v>
      </c>
      <c r="T15" s="608">
        <f t="shared" ref="T15:T20" si="3">S15/$S$15</f>
        <v>1</v>
      </c>
      <c r="U15" s="45"/>
      <c r="V15" s="621" t="s">
        <v>250</v>
      </c>
      <c r="W15" s="634">
        <v>0</v>
      </c>
      <c r="X15" s="628">
        <f>W15/$S$15</f>
        <v>0</v>
      </c>
    </row>
    <row r="16" spans="1:24" ht="15" customHeight="1" thickBot="1">
      <c r="A16" s="30" t="s">
        <v>479</v>
      </c>
      <c r="B16" s="26" t="s">
        <v>1</v>
      </c>
      <c r="C16" s="496">
        <v>0</v>
      </c>
      <c r="D16" s="494">
        <f>S45</f>
        <v>4875922.8</v>
      </c>
      <c r="E16" s="494">
        <v>0</v>
      </c>
      <c r="F16" s="174">
        <v>0</v>
      </c>
      <c r="G16" s="174">
        <v>0</v>
      </c>
      <c r="H16" s="174">
        <v>0</v>
      </c>
      <c r="I16" s="174">
        <v>0</v>
      </c>
      <c r="J16" s="174">
        <v>0</v>
      </c>
      <c r="K16" s="174">
        <v>0</v>
      </c>
      <c r="L16" s="174">
        <v>0</v>
      </c>
      <c r="M16" s="175">
        <v>0</v>
      </c>
      <c r="O16" s="501">
        <f>SUM(C16:M16)</f>
        <v>4875922.8</v>
      </c>
      <c r="R16" s="972" t="s">
        <v>236</v>
      </c>
      <c r="S16" s="210">
        <f>SUM(S17:S18)</f>
        <v>17102391.68</v>
      </c>
      <c r="T16" s="973">
        <f t="shared" si="3"/>
        <v>1</v>
      </c>
      <c r="V16" s="621" t="s">
        <v>347</v>
      </c>
      <c r="W16" s="634">
        <v>0</v>
      </c>
      <c r="X16" s="628">
        <f>W16/$S$15</f>
        <v>0</v>
      </c>
    </row>
    <row r="17" spans="1:24" ht="15" customHeight="1" thickBot="1">
      <c r="A17" s="1511" t="s">
        <v>102</v>
      </c>
      <c r="B17" s="1512" t="s">
        <v>1</v>
      </c>
      <c r="C17" s="1513">
        <f t="shared" ref="C17:M17" si="4">C9+C13</f>
        <v>17102391.68</v>
      </c>
      <c r="D17" s="1514">
        <f t="shared" si="4"/>
        <v>846384.03975</v>
      </c>
      <c r="E17" s="1514">
        <f t="shared" si="4"/>
        <v>0</v>
      </c>
      <c r="F17" s="1515">
        <f t="shared" si="4"/>
        <v>0</v>
      </c>
      <c r="G17" s="1515">
        <f t="shared" si="4"/>
        <v>0</v>
      </c>
      <c r="H17" s="1515">
        <f t="shared" si="4"/>
        <v>0</v>
      </c>
      <c r="I17" s="1515">
        <f t="shared" si="4"/>
        <v>0</v>
      </c>
      <c r="J17" s="1515">
        <f t="shared" si="4"/>
        <v>0</v>
      </c>
      <c r="K17" s="1515">
        <f t="shared" si="4"/>
        <v>0</v>
      </c>
      <c r="L17" s="1515">
        <f t="shared" si="4"/>
        <v>0</v>
      </c>
      <c r="M17" s="1516">
        <f t="shared" si="4"/>
        <v>0</v>
      </c>
      <c r="O17" s="500">
        <f>SUM(C17:M17)</f>
        <v>17948775.719749998</v>
      </c>
      <c r="R17" s="386" t="s">
        <v>155</v>
      </c>
      <c r="S17" s="1252">
        <f>'Položkový rozpočet projektu'!F16</f>
        <v>13931208</v>
      </c>
      <c r="T17" s="609">
        <f t="shared" si="3"/>
        <v>0.81457659610798949</v>
      </c>
      <c r="V17" s="625" t="s">
        <v>251</v>
      </c>
      <c r="W17" s="642">
        <v>0</v>
      </c>
      <c r="X17" s="790">
        <f>W17/$S$15</f>
        <v>0</v>
      </c>
    </row>
    <row r="18" spans="1:24" ht="15" customHeight="1" thickBot="1">
      <c r="A18" s="330" t="s">
        <v>608</v>
      </c>
      <c r="N18" s="533"/>
      <c r="R18" s="602" t="s">
        <v>115</v>
      </c>
      <c r="S18" s="1253">
        <f>'Položkový rozpočet projektu'!F17</f>
        <v>3171183.6799999997</v>
      </c>
      <c r="T18" s="610">
        <f t="shared" si="3"/>
        <v>0.18542340389201048</v>
      </c>
      <c r="V18" s="626" t="s">
        <v>244</v>
      </c>
      <c r="W18" s="643">
        <f>SUM(W9:W17)</f>
        <v>0</v>
      </c>
      <c r="X18" s="639">
        <f>SUM(X9:X17)</f>
        <v>0</v>
      </c>
    </row>
    <row r="19" spans="1:24" ht="15" customHeight="1" thickBot="1">
      <c r="A19" s="2" t="s">
        <v>659</v>
      </c>
      <c r="R19" s="972" t="s">
        <v>354</v>
      </c>
      <c r="S19" s="210">
        <f>SUM(S20:S21)</f>
        <v>0</v>
      </c>
      <c r="T19" s="973">
        <f t="shared" si="3"/>
        <v>0</v>
      </c>
    </row>
    <row r="20" spans="1:24" ht="15" customHeight="1" thickBot="1">
      <c r="A20" s="2" t="s">
        <v>703</v>
      </c>
      <c r="R20" s="386" t="s">
        <v>352</v>
      </c>
      <c r="S20" s="613">
        <f>L38</f>
        <v>0</v>
      </c>
      <c r="T20" s="971">
        <f t="shared" si="3"/>
        <v>0</v>
      </c>
      <c r="V20" s="45" t="s">
        <v>356</v>
      </c>
      <c r="W20" s="760"/>
      <c r="X20" s="1524"/>
    </row>
    <row r="21" spans="1:24" ht="15" customHeight="1" thickBot="1">
      <c r="R21" s="387" t="s">
        <v>353</v>
      </c>
      <c r="S21" s="616">
        <f>O38</f>
        <v>0</v>
      </c>
      <c r="T21" s="970">
        <f>S21/$S$15</f>
        <v>0</v>
      </c>
      <c r="V21" s="644">
        <v>2025</v>
      </c>
      <c r="W21" s="629" t="s">
        <v>1</v>
      </c>
      <c r="X21" s="627" t="s">
        <v>233</v>
      </c>
    </row>
    <row r="22" spans="1:24" ht="15" customHeight="1" thickBot="1">
      <c r="A22" s="330"/>
      <c r="C22" s="593" t="s">
        <v>346</v>
      </c>
      <c r="D22" s="593"/>
      <c r="E22" s="593"/>
      <c r="F22" s="593"/>
      <c r="G22" s="593"/>
      <c r="H22" s="593"/>
      <c r="I22" s="593"/>
      <c r="J22" s="593"/>
      <c r="R22" s="604" t="s">
        <v>234</v>
      </c>
      <c r="S22" s="615">
        <f>S16+S19</f>
        <v>17102391.68</v>
      </c>
      <c r="T22" s="611">
        <f>T16+T19</f>
        <v>1</v>
      </c>
      <c r="V22" s="1528" t="s">
        <v>67</v>
      </c>
      <c r="W22" s="1529">
        <f>'Investiční náklady_vznik'!D31</f>
        <v>13934208</v>
      </c>
      <c r="X22" s="1530">
        <f t="shared" ref="X22:X30" si="5">W22/$W$22</f>
        <v>1</v>
      </c>
    </row>
    <row r="23" spans="1:24" ht="15" customHeight="1" thickBot="1">
      <c r="A23" s="330"/>
      <c r="U23" s="45"/>
      <c r="V23" s="624" t="s">
        <v>245</v>
      </c>
      <c r="W23" s="640">
        <f>'Položkový rozpočet projektu'!F24</f>
        <v>4875922.8</v>
      </c>
      <c r="X23" s="635">
        <f t="shared" si="5"/>
        <v>0.34992464587868932</v>
      </c>
    </row>
    <row r="24" spans="1:24" ht="15" customHeight="1" thickBot="1">
      <c r="A24" s="1517" t="s">
        <v>482</v>
      </c>
      <c r="B24" s="1518" t="s">
        <v>14</v>
      </c>
      <c r="C24" s="340">
        <v>2025</v>
      </c>
      <c r="D24" s="1519">
        <v>2026</v>
      </c>
      <c r="E24" s="1519">
        <v>2027</v>
      </c>
      <c r="F24" s="1520">
        <v>2028</v>
      </c>
      <c r="G24" s="1519">
        <v>2029</v>
      </c>
      <c r="H24" s="1520">
        <v>2030</v>
      </c>
      <c r="I24" s="1519">
        <v>2031</v>
      </c>
      <c r="J24" s="1520">
        <v>2032</v>
      </c>
      <c r="K24" s="1519">
        <v>2033</v>
      </c>
      <c r="L24" s="1520">
        <v>2034</v>
      </c>
      <c r="M24" s="295">
        <v>2035</v>
      </c>
      <c r="N24" s="493" t="s">
        <v>243</v>
      </c>
      <c r="R24" s="45" t="s">
        <v>253</v>
      </c>
      <c r="S24" s="45"/>
      <c r="U24" s="45"/>
      <c r="V24" s="622" t="s">
        <v>246</v>
      </c>
      <c r="W24" s="631">
        <f>W22-W23</f>
        <v>9058285.1999999993</v>
      </c>
      <c r="X24" s="636">
        <f t="shared" si="5"/>
        <v>0.65007535412131057</v>
      </c>
    </row>
    <row r="25" spans="1:24" ht="15" customHeight="1" thickBot="1">
      <c r="A25" s="76"/>
      <c r="B25" s="77"/>
      <c r="C25" s="176" t="s">
        <v>429</v>
      </c>
      <c r="D25" s="33" t="s">
        <v>40</v>
      </c>
      <c r="E25" s="33" t="s">
        <v>40</v>
      </c>
      <c r="F25" s="33" t="s">
        <v>40</v>
      </c>
      <c r="G25" s="33" t="s">
        <v>40</v>
      </c>
      <c r="H25" s="33" t="s">
        <v>40</v>
      </c>
      <c r="I25" s="33" t="s">
        <v>40</v>
      </c>
      <c r="J25" s="33" t="s">
        <v>40</v>
      </c>
      <c r="K25" s="33" t="s">
        <v>40</v>
      </c>
      <c r="L25" s="72" t="s">
        <v>40</v>
      </c>
      <c r="R25" s="47">
        <v>2025</v>
      </c>
      <c r="S25" s="619" t="s">
        <v>1</v>
      </c>
      <c r="T25" s="617" t="s">
        <v>233</v>
      </c>
      <c r="V25" s="621" t="s">
        <v>247</v>
      </c>
      <c r="W25" s="632">
        <v>0</v>
      </c>
      <c r="X25" s="637">
        <f t="shared" si="5"/>
        <v>0</v>
      </c>
    </row>
    <row r="26" spans="1:24" ht="15" customHeight="1" thickBot="1">
      <c r="A26" s="53" t="s">
        <v>309</v>
      </c>
      <c r="B26" s="54" t="s">
        <v>2</v>
      </c>
      <c r="C26" s="73" t="s">
        <v>430</v>
      </c>
      <c r="D26" s="70">
        <v>12</v>
      </c>
      <c r="E26" s="71">
        <v>12</v>
      </c>
      <c r="F26" s="71">
        <v>12</v>
      </c>
      <c r="G26" s="71">
        <v>12</v>
      </c>
      <c r="H26" s="71">
        <v>12</v>
      </c>
      <c r="I26" s="71">
        <v>12</v>
      </c>
      <c r="J26" s="71">
        <v>12</v>
      </c>
      <c r="K26" s="71">
        <v>12</v>
      </c>
      <c r="L26" s="148">
        <v>12</v>
      </c>
      <c r="R26" s="607" t="s">
        <v>39</v>
      </c>
      <c r="S26" s="620">
        <f>'Položkový rozpočet projektu'!F23</f>
        <v>17102391.68</v>
      </c>
      <c r="T26" s="618">
        <f t="shared" ref="T26:T33" si="6">S26/$S$15</f>
        <v>1</v>
      </c>
      <c r="V26" s="621" t="s">
        <v>248</v>
      </c>
      <c r="W26" s="641">
        <v>0</v>
      </c>
      <c r="X26" s="637">
        <f t="shared" si="5"/>
        <v>0</v>
      </c>
    </row>
    <row r="27" spans="1:24" ht="15" customHeight="1" thickBot="1">
      <c r="A27" s="31"/>
      <c r="B27" s="78"/>
      <c r="C27" s="35"/>
      <c r="D27" s="37"/>
      <c r="E27" s="34"/>
      <c r="F27" s="34"/>
      <c r="G27" s="34"/>
      <c r="H27" s="34"/>
      <c r="I27" s="34"/>
      <c r="J27" s="34"/>
      <c r="K27" s="34"/>
      <c r="L27" s="156"/>
      <c r="R27" s="972" t="s">
        <v>236</v>
      </c>
      <c r="S27" s="210">
        <f>S28+S29</f>
        <v>17102391.68</v>
      </c>
      <c r="T27" s="973">
        <f t="shared" si="6"/>
        <v>1</v>
      </c>
      <c r="V27" s="621" t="s">
        <v>249</v>
      </c>
      <c r="W27" s="630">
        <v>0</v>
      </c>
      <c r="X27" s="637">
        <f t="shared" si="5"/>
        <v>0</v>
      </c>
    </row>
    <row r="28" spans="1:24" ht="15" customHeight="1" thickBot="1">
      <c r="A28" s="29" t="s">
        <v>191</v>
      </c>
      <c r="B28" s="25" t="s">
        <v>1</v>
      </c>
      <c r="C28" s="132">
        <f t="shared" ref="C28:L28" si="7">SUM(C29:C29)</f>
        <v>0</v>
      </c>
      <c r="D28" s="499">
        <f t="shared" si="7"/>
        <v>0</v>
      </c>
      <c r="E28" s="499">
        <f t="shared" si="7"/>
        <v>0</v>
      </c>
      <c r="F28" s="499">
        <f t="shared" si="7"/>
        <v>0</v>
      </c>
      <c r="G28" s="499">
        <f t="shared" si="7"/>
        <v>0</v>
      </c>
      <c r="H28" s="499">
        <f t="shared" si="7"/>
        <v>0</v>
      </c>
      <c r="I28" s="499">
        <f t="shared" si="7"/>
        <v>0</v>
      </c>
      <c r="J28" s="499">
        <f t="shared" si="7"/>
        <v>0</v>
      </c>
      <c r="K28" s="499">
        <f t="shared" si="7"/>
        <v>0</v>
      </c>
      <c r="L28" s="503">
        <f t="shared" si="7"/>
        <v>0</v>
      </c>
      <c r="N28" s="1348">
        <f t="shared" ref="N28:N32" si="8">SUM(C28:L28)</f>
        <v>0</v>
      </c>
      <c r="R28" s="785" t="s">
        <v>155</v>
      </c>
      <c r="S28" s="977">
        <f>'Položkový rozpočet projektu'!F16</f>
        <v>13931208</v>
      </c>
      <c r="T28" s="978">
        <f t="shared" si="6"/>
        <v>0.81457659610798949</v>
      </c>
      <c r="V28" s="1075" t="s">
        <v>250</v>
      </c>
      <c r="W28" s="1076">
        <v>0</v>
      </c>
      <c r="X28" s="637">
        <f t="shared" si="5"/>
        <v>0</v>
      </c>
    </row>
    <row r="29" spans="1:24" ht="15" customHeight="1" thickBot="1">
      <c r="A29" s="31" t="s">
        <v>610</v>
      </c>
      <c r="B29" s="167"/>
      <c r="C29" s="495">
        <f>I45+L42</f>
        <v>0</v>
      </c>
      <c r="D29" s="168">
        <f>I58</f>
        <v>0</v>
      </c>
      <c r="E29" s="168">
        <f>I71</f>
        <v>0</v>
      </c>
      <c r="F29" s="168">
        <f>I84</f>
        <v>0</v>
      </c>
      <c r="G29" s="168">
        <f>I97</f>
        <v>0</v>
      </c>
      <c r="H29" s="168">
        <f>I101</f>
        <v>0</v>
      </c>
      <c r="I29" s="168">
        <v>0</v>
      </c>
      <c r="J29" s="168">
        <v>0</v>
      </c>
      <c r="K29" s="168">
        <v>0</v>
      </c>
      <c r="L29" s="502">
        <v>0</v>
      </c>
      <c r="N29" s="1349">
        <f t="shared" si="8"/>
        <v>0</v>
      </c>
      <c r="R29" s="788" t="s">
        <v>115</v>
      </c>
      <c r="S29" s="1254">
        <f>'Položkový rozpočet projektu'!F17</f>
        <v>3171183.6799999997</v>
      </c>
      <c r="T29" s="979">
        <f t="shared" si="6"/>
        <v>0.18542340389201048</v>
      </c>
      <c r="V29" s="621" t="s">
        <v>347</v>
      </c>
      <c r="W29" s="634">
        <v>0</v>
      </c>
      <c r="X29" s="637">
        <f t="shared" si="5"/>
        <v>0</v>
      </c>
    </row>
    <row r="30" spans="1:24" ht="15" customHeight="1" thickBot="1">
      <c r="A30" s="29" t="s">
        <v>189</v>
      </c>
      <c r="B30" s="25" t="s">
        <v>1</v>
      </c>
      <c r="C30" s="132">
        <f>C31+C32</f>
        <v>0</v>
      </c>
      <c r="D30" s="499">
        <f>D31+D32</f>
        <v>0</v>
      </c>
      <c r="E30" s="499">
        <f t="shared" ref="E30:L30" si="9">E31+E32</f>
        <v>0</v>
      </c>
      <c r="F30" s="499">
        <f t="shared" si="9"/>
        <v>0</v>
      </c>
      <c r="G30" s="499">
        <f t="shared" si="9"/>
        <v>0</v>
      </c>
      <c r="H30" s="499">
        <f t="shared" si="9"/>
        <v>0</v>
      </c>
      <c r="I30" s="499">
        <f t="shared" si="9"/>
        <v>0</v>
      </c>
      <c r="J30" s="499">
        <f t="shared" si="9"/>
        <v>0</v>
      </c>
      <c r="K30" s="499">
        <f t="shared" si="9"/>
        <v>0</v>
      </c>
      <c r="L30" s="503">
        <f t="shared" si="9"/>
        <v>0</v>
      </c>
      <c r="N30" s="1348">
        <f t="shared" si="8"/>
        <v>0</v>
      </c>
      <c r="R30" s="974" t="s">
        <v>237</v>
      </c>
      <c r="S30" s="975">
        <f>SUM(S31:S33)</f>
        <v>4875922.8</v>
      </c>
      <c r="T30" s="976">
        <f t="shared" si="6"/>
        <v>0.28510180863779633</v>
      </c>
      <c r="V30" s="1073" t="s">
        <v>251</v>
      </c>
      <c r="W30" s="1074">
        <v>0</v>
      </c>
      <c r="X30" s="638">
        <f t="shared" si="5"/>
        <v>0</v>
      </c>
    </row>
    <row r="31" spans="1:24" ht="15" customHeight="1" thickBot="1">
      <c r="A31" s="164" t="s">
        <v>192</v>
      </c>
      <c r="B31" s="166" t="s">
        <v>1</v>
      </c>
      <c r="C31" s="495">
        <f>L42</f>
        <v>0</v>
      </c>
      <c r="D31" s="168">
        <f>F58</f>
        <v>0</v>
      </c>
      <c r="E31" s="169">
        <f>F71</f>
        <v>0</v>
      </c>
      <c r="F31" s="169">
        <f>F84</f>
        <v>0</v>
      </c>
      <c r="G31" s="169">
        <f>F97</f>
        <v>0</v>
      </c>
      <c r="H31" s="169">
        <f>F101</f>
        <v>0</v>
      </c>
      <c r="I31" s="169">
        <v>0</v>
      </c>
      <c r="J31" s="169">
        <v>0</v>
      </c>
      <c r="K31" s="169">
        <v>0</v>
      </c>
      <c r="L31" s="170">
        <v>0</v>
      </c>
      <c r="N31" s="1348">
        <f t="shared" si="8"/>
        <v>0</v>
      </c>
      <c r="R31" s="785" t="s">
        <v>352</v>
      </c>
      <c r="S31" s="786">
        <f>L38</f>
        <v>0</v>
      </c>
      <c r="T31" s="787">
        <f t="shared" si="6"/>
        <v>0</v>
      </c>
      <c r="V31" s="1077" t="s">
        <v>244</v>
      </c>
      <c r="W31" s="1078">
        <f>SUM(W23:W30)</f>
        <v>13934208</v>
      </c>
      <c r="X31" s="1079">
        <f>SUM(X23:X30)</f>
        <v>0.99999999999999989</v>
      </c>
    </row>
    <row r="32" spans="1:24" ht="15" customHeight="1" thickBot="1">
      <c r="A32" s="164" t="s">
        <v>193</v>
      </c>
      <c r="B32" s="166"/>
      <c r="C32" s="495">
        <f>H45</f>
        <v>0</v>
      </c>
      <c r="D32" s="168">
        <f>H58</f>
        <v>0</v>
      </c>
      <c r="E32" s="169">
        <f>H71</f>
        <v>0</v>
      </c>
      <c r="F32" s="169">
        <f>H84</f>
        <v>0</v>
      </c>
      <c r="G32" s="169">
        <f>H97</f>
        <v>0</v>
      </c>
      <c r="H32" s="169">
        <f>H101</f>
        <v>0</v>
      </c>
      <c r="I32" s="169">
        <v>0</v>
      </c>
      <c r="J32" s="169">
        <v>0</v>
      </c>
      <c r="K32" s="169">
        <v>0</v>
      </c>
      <c r="L32" s="170">
        <v>0</v>
      </c>
      <c r="N32" s="1348">
        <f t="shared" si="8"/>
        <v>0</v>
      </c>
      <c r="R32" s="387" t="s">
        <v>353</v>
      </c>
      <c r="S32" s="781">
        <f>O38</f>
        <v>0</v>
      </c>
      <c r="T32" s="789">
        <f t="shared" si="6"/>
        <v>0</v>
      </c>
    </row>
    <row r="33" spans="1:24" ht="15" customHeight="1" thickBot="1">
      <c r="A33" s="29" t="s">
        <v>190</v>
      </c>
      <c r="B33" s="25" t="s">
        <v>1</v>
      </c>
      <c r="C33" s="100">
        <f t="shared" ref="C33:L33" si="10">C28-C30</f>
        <v>0</v>
      </c>
      <c r="D33" s="124">
        <f t="shared" si="10"/>
        <v>0</v>
      </c>
      <c r="E33" s="124">
        <f t="shared" si="10"/>
        <v>0</v>
      </c>
      <c r="F33" s="124">
        <f t="shared" si="10"/>
        <v>0</v>
      </c>
      <c r="G33" s="124">
        <f t="shared" si="10"/>
        <v>0</v>
      </c>
      <c r="H33" s="124">
        <f t="shared" si="10"/>
        <v>0</v>
      </c>
      <c r="I33" s="124">
        <f t="shared" si="10"/>
        <v>0</v>
      </c>
      <c r="J33" s="124">
        <f t="shared" si="10"/>
        <v>0</v>
      </c>
      <c r="K33" s="124">
        <f t="shared" si="10"/>
        <v>0</v>
      </c>
      <c r="L33" s="122">
        <f t="shared" si="10"/>
        <v>0</v>
      </c>
      <c r="R33" s="788" t="s">
        <v>235</v>
      </c>
      <c r="S33" s="616">
        <f>'Položkový rozpočet projektu'!F24</f>
        <v>4875922.8</v>
      </c>
      <c r="T33" s="789">
        <f t="shared" si="6"/>
        <v>0.28510180863779633</v>
      </c>
      <c r="V33" s="45" t="s">
        <v>591</v>
      </c>
      <c r="W33" s="760"/>
      <c r="X33" s="1524"/>
    </row>
    <row r="34" spans="1:24" ht="15" customHeight="1" thickBot="1">
      <c r="A34" s="330" t="s">
        <v>609</v>
      </c>
      <c r="B34" s="497"/>
      <c r="C34" s="498"/>
      <c r="D34" s="498"/>
      <c r="E34" s="498"/>
      <c r="F34" s="498"/>
      <c r="G34" s="498"/>
      <c r="H34" s="498"/>
      <c r="I34" s="498"/>
      <c r="J34" s="498"/>
      <c r="K34" s="498"/>
      <c r="L34" s="498"/>
      <c r="R34" s="782" t="s">
        <v>234</v>
      </c>
      <c r="S34" s="783">
        <f>S27+S30</f>
        <v>21978314.48</v>
      </c>
      <c r="T34" s="784">
        <f>S34/S26</f>
        <v>1.2851018086377963</v>
      </c>
      <c r="V34" s="644">
        <v>2025</v>
      </c>
      <c r="W34" s="629" t="s">
        <v>1</v>
      </c>
      <c r="X34" s="627" t="s">
        <v>233</v>
      </c>
    </row>
    <row r="35" spans="1:24" ht="15" customHeight="1" thickBot="1">
      <c r="V35" s="1528" t="s">
        <v>67</v>
      </c>
      <c r="W35" s="1529">
        <f>W22-W8</f>
        <v>13934208</v>
      </c>
      <c r="X35" s="1530">
        <f t="shared" ref="X35:X43" si="11">W35/$W$22</f>
        <v>1</v>
      </c>
    </row>
    <row r="36" spans="1:24" ht="15" customHeight="1" thickTop="1" thickBot="1">
      <c r="A36" s="43" t="s">
        <v>217</v>
      </c>
      <c r="R36" s="980" t="s">
        <v>357</v>
      </c>
      <c r="S36" s="981"/>
      <c r="T36" s="944"/>
      <c r="V36" s="624" t="s">
        <v>245</v>
      </c>
      <c r="W36" s="640">
        <f>W23-W9</f>
        <v>4875922.8</v>
      </c>
      <c r="X36" s="635">
        <f t="shared" si="11"/>
        <v>0.34992464587868932</v>
      </c>
    </row>
    <row r="37" spans="1:24" ht="15" customHeight="1" thickBot="1">
      <c r="A37" s="1696" t="s">
        <v>184</v>
      </c>
      <c r="B37" s="1697"/>
      <c r="C37" s="1698"/>
      <c r="D37" s="1699" t="s">
        <v>29</v>
      </c>
      <c r="E37" s="1698"/>
      <c r="F37" s="588" t="s">
        <v>186</v>
      </c>
      <c r="G37" s="589" t="s">
        <v>185</v>
      </c>
      <c r="H37" s="588" t="s">
        <v>187</v>
      </c>
      <c r="I37" s="590" t="s">
        <v>161</v>
      </c>
      <c r="K37" s="1694" t="s">
        <v>348</v>
      </c>
      <c r="L37" s="1695"/>
      <c r="N37" s="1694" t="s">
        <v>349</v>
      </c>
      <c r="O37" s="1695"/>
      <c r="R37" s="982">
        <v>2025</v>
      </c>
      <c r="S37" s="619" t="s">
        <v>1</v>
      </c>
      <c r="T37" s="983" t="s">
        <v>233</v>
      </c>
      <c r="V37" s="622" t="s">
        <v>246</v>
      </c>
      <c r="W37" s="631">
        <f>W24-W10</f>
        <v>9058285.1999999993</v>
      </c>
      <c r="X37" s="636">
        <f t="shared" si="11"/>
        <v>0.65007535412131057</v>
      </c>
    </row>
    <row r="38" spans="1:24" ht="15" customHeight="1" thickBot="1">
      <c r="A38" s="1700">
        <v>45717</v>
      </c>
      <c r="B38" s="1701"/>
      <c r="C38" s="1702"/>
      <c r="D38" s="1703">
        <f>L38</f>
        <v>0</v>
      </c>
      <c r="E38" s="1704"/>
      <c r="F38" s="582">
        <v>0</v>
      </c>
      <c r="G38" s="583">
        <f>D38</f>
        <v>0</v>
      </c>
      <c r="H38" s="582">
        <v>0</v>
      </c>
      <c r="I38" s="573"/>
      <c r="K38" s="999" t="s">
        <v>238</v>
      </c>
      <c r="L38" s="1000">
        <v>0</v>
      </c>
      <c r="N38" s="999" t="s">
        <v>350</v>
      </c>
      <c r="O38" s="1344">
        <v>0</v>
      </c>
      <c r="R38" s="984" t="s">
        <v>39</v>
      </c>
      <c r="S38" s="620">
        <f>'Položkový rozpočet projektu'!F23</f>
        <v>17102391.68</v>
      </c>
      <c r="T38" s="985">
        <f t="shared" ref="T38:T45" si="12">S38/$S$15</f>
        <v>1</v>
      </c>
      <c r="V38" s="621" t="s">
        <v>247</v>
      </c>
      <c r="W38" s="632">
        <f>W25-W11</f>
        <v>0</v>
      </c>
      <c r="X38" s="637">
        <f t="shared" si="11"/>
        <v>0</v>
      </c>
    </row>
    <row r="39" spans="1:24" ht="15" customHeight="1" thickBot="1">
      <c r="A39" s="1705">
        <v>45869</v>
      </c>
      <c r="B39" s="1706"/>
      <c r="C39" s="1707"/>
      <c r="D39" s="1708">
        <v>0</v>
      </c>
      <c r="E39" s="1709"/>
      <c r="F39" s="489">
        <v>0</v>
      </c>
      <c r="G39" s="532">
        <v>0</v>
      </c>
      <c r="H39" s="490">
        <v>0</v>
      </c>
      <c r="I39" s="573"/>
      <c r="K39" s="596" t="s">
        <v>239</v>
      </c>
      <c r="L39" s="780" t="s">
        <v>34</v>
      </c>
      <c r="N39" s="596" t="s">
        <v>239</v>
      </c>
      <c r="O39" s="1321"/>
      <c r="R39" s="986" t="s">
        <v>236</v>
      </c>
      <c r="S39" s="210">
        <f>S40+S41</f>
        <v>12226468.879999999</v>
      </c>
      <c r="T39" s="987">
        <f t="shared" si="12"/>
        <v>0.71489819136220367</v>
      </c>
      <c r="V39" s="621" t="s">
        <v>248</v>
      </c>
      <c r="W39" s="632">
        <f t="shared" ref="W39:W43" si="13">W26-W13</f>
        <v>0</v>
      </c>
      <c r="X39" s="637">
        <f t="shared" si="11"/>
        <v>0</v>
      </c>
    </row>
    <row r="40" spans="1:24" ht="15" customHeight="1">
      <c r="A40" s="1705">
        <v>45900</v>
      </c>
      <c r="B40" s="1706"/>
      <c r="C40" s="1707"/>
      <c r="D40" s="1708">
        <v>0</v>
      </c>
      <c r="E40" s="1709"/>
      <c r="F40" s="489">
        <v>0</v>
      </c>
      <c r="G40" s="532">
        <v>0</v>
      </c>
      <c r="H40" s="490">
        <v>0</v>
      </c>
      <c r="I40" s="573"/>
      <c r="K40" s="596" t="s">
        <v>241</v>
      </c>
      <c r="L40" s="780" t="s">
        <v>34</v>
      </c>
      <c r="N40" s="596" t="s">
        <v>241</v>
      </c>
      <c r="O40" s="1321"/>
      <c r="R40" s="988" t="s">
        <v>155</v>
      </c>
      <c r="S40" s="977">
        <f>S38-S45-S41</f>
        <v>9055285.1999999993</v>
      </c>
      <c r="T40" s="989">
        <f t="shared" si="12"/>
        <v>0.52947478747019316</v>
      </c>
      <c r="V40" s="621" t="s">
        <v>249</v>
      </c>
      <c r="W40" s="632">
        <f t="shared" si="13"/>
        <v>0</v>
      </c>
      <c r="X40" s="637">
        <f t="shared" si="11"/>
        <v>0</v>
      </c>
    </row>
    <row r="41" spans="1:24" ht="15" customHeight="1" thickBot="1">
      <c r="A41" s="1705">
        <v>45930</v>
      </c>
      <c r="B41" s="1706"/>
      <c r="C41" s="1707"/>
      <c r="D41" s="1708">
        <v>0</v>
      </c>
      <c r="E41" s="1709"/>
      <c r="F41" s="489">
        <v>0</v>
      </c>
      <c r="G41" s="532">
        <v>0</v>
      </c>
      <c r="H41" s="490">
        <v>0</v>
      </c>
      <c r="I41" s="573"/>
      <c r="K41" s="599" t="s">
        <v>240</v>
      </c>
      <c r="L41" s="600">
        <v>0</v>
      </c>
      <c r="N41" s="599" t="s">
        <v>351</v>
      </c>
      <c r="O41" s="1345">
        <f>O38</f>
        <v>0</v>
      </c>
      <c r="R41" s="990" t="s">
        <v>115</v>
      </c>
      <c r="S41" s="1254">
        <f>'Položkový rozpočet projektu'!F17</f>
        <v>3171183.6799999997</v>
      </c>
      <c r="T41" s="991">
        <f t="shared" si="12"/>
        <v>0.18542340389201048</v>
      </c>
      <c r="V41" s="1075" t="s">
        <v>250</v>
      </c>
      <c r="W41" s="632">
        <f t="shared" si="13"/>
        <v>0</v>
      </c>
      <c r="X41" s="637">
        <f t="shared" si="11"/>
        <v>0</v>
      </c>
    </row>
    <row r="42" spans="1:24" ht="15" customHeight="1" thickBot="1">
      <c r="A42" s="1705">
        <v>45961</v>
      </c>
      <c r="B42" s="1706"/>
      <c r="C42" s="1707"/>
      <c r="D42" s="1708">
        <v>0</v>
      </c>
      <c r="E42" s="1709"/>
      <c r="F42" s="489">
        <v>0</v>
      </c>
      <c r="G42" s="532">
        <v>0</v>
      </c>
      <c r="H42" s="490">
        <v>0</v>
      </c>
      <c r="I42" s="573"/>
      <c r="K42" s="597" t="s">
        <v>242</v>
      </c>
      <c r="L42" s="598">
        <v>0</v>
      </c>
      <c r="N42" s="998" t="s">
        <v>359</v>
      </c>
      <c r="O42" s="1346"/>
      <c r="R42" s="992" t="s">
        <v>237</v>
      </c>
      <c r="S42" s="975">
        <f>SUM(S43:S45)</f>
        <v>4875922.8</v>
      </c>
      <c r="T42" s="993">
        <f t="shared" si="12"/>
        <v>0.28510180863779633</v>
      </c>
      <c r="V42" s="621" t="s">
        <v>347</v>
      </c>
      <c r="W42" s="632">
        <f t="shared" si="13"/>
        <v>0</v>
      </c>
      <c r="X42" s="637">
        <f t="shared" si="11"/>
        <v>0</v>
      </c>
    </row>
    <row r="43" spans="1:24" ht="15" customHeight="1" thickBot="1">
      <c r="A43" s="1705">
        <v>45991</v>
      </c>
      <c r="B43" s="1706"/>
      <c r="C43" s="1707"/>
      <c r="D43" s="1708">
        <v>0</v>
      </c>
      <c r="E43" s="1709"/>
      <c r="F43" s="489">
        <v>0</v>
      </c>
      <c r="G43" s="532">
        <v>0</v>
      </c>
      <c r="H43" s="490">
        <v>0</v>
      </c>
      <c r="I43" s="573"/>
      <c r="N43" s="597" t="s">
        <v>242</v>
      </c>
      <c r="O43" s="1347"/>
      <c r="R43" s="988" t="s">
        <v>352</v>
      </c>
      <c r="S43" s="786">
        <f>L50</f>
        <v>0</v>
      </c>
      <c r="T43" s="994">
        <f t="shared" si="12"/>
        <v>0</v>
      </c>
      <c r="V43" s="1073" t="s">
        <v>251</v>
      </c>
      <c r="W43" s="632">
        <f t="shared" si="13"/>
        <v>0</v>
      </c>
      <c r="X43" s="638">
        <f t="shared" si="11"/>
        <v>0</v>
      </c>
    </row>
    <row r="44" spans="1:24" ht="15" customHeight="1" thickBot="1">
      <c r="A44" s="1705">
        <v>46022</v>
      </c>
      <c r="B44" s="1706"/>
      <c r="C44" s="1707"/>
      <c r="D44" s="1710">
        <v>0</v>
      </c>
      <c r="E44" s="1711"/>
      <c r="F44" s="581">
        <v>0</v>
      </c>
      <c r="G44" s="532">
        <v>0</v>
      </c>
      <c r="H44" s="490">
        <v>0</v>
      </c>
      <c r="I44" s="573"/>
      <c r="R44" s="995" t="s">
        <v>431</v>
      </c>
      <c r="S44" s="781">
        <v>0</v>
      </c>
      <c r="T44" s="996">
        <f t="shared" si="12"/>
        <v>0</v>
      </c>
      <c r="V44" s="1077" t="s">
        <v>244</v>
      </c>
      <c r="W44" s="1078">
        <f>SUM(W36:W43)</f>
        <v>13934208</v>
      </c>
      <c r="X44" s="1079">
        <f>SUM(X36:X43)</f>
        <v>0.99999999999999989</v>
      </c>
    </row>
    <row r="45" spans="1:24" ht="15" customHeight="1" thickBot="1">
      <c r="A45" s="1712" t="s">
        <v>661</v>
      </c>
      <c r="B45" s="1713"/>
      <c r="C45" s="1714"/>
      <c r="D45" s="1715" t="s">
        <v>34</v>
      </c>
      <c r="E45" s="1716"/>
      <c r="F45" s="585">
        <f>SUM(F38:F44)</f>
        <v>0</v>
      </c>
      <c r="G45" s="586" t="s">
        <v>34</v>
      </c>
      <c r="H45" s="585">
        <f t="shared" ref="H45" si="14">SUM(H38:H44)</f>
        <v>0</v>
      </c>
      <c r="I45" s="587">
        <f>F45+H45</f>
        <v>0</v>
      </c>
      <c r="R45" s="990" t="s">
        <v>235</v>
      </c>
      <c r="S45" s="616">
        <f>'Položkový rozpočet projektu'!F24</f>
        <v>4875922.8</v>
      </c>
      <c r="T45" s="996">
        <f t="shared" si="12"/>
        <v>0.28510180863779633</v>
      </c>
    </row>
    <row r="46" spans="1:24" ht="15" customHeight="1" thickBot="1">
      <c r="A46" s="1717">
        <v>46053</v>
      </c>
      <c r="B46" s="1718"/>
      <c r="C46" s="1719"/>
      <c r="D46" s="1720">
        <v>0</v>
      </c>
      <c r="E46" s="1721"/>
      <c r="F46" s="582">
        <v>0</v>
      </c>
      <c r="G46" s="583">
        <v>0</v>
      </c>
      <c r="H46" s="584">
        <v>0</v>
      </c>
      <c r="I46" s="575"/>
      <c r="R46" s="1521" t="s">
        <v>234</v>
      </c>
      <c r="S46" s="1522">
        <f>S39+S42</f>
        <v>17102391.68</v>
      </c>
      <c r="T46" s="1523">
        <f>S46/S38</f>
        <v>1</v>
      </c>
      <c r="W46" s="46"/>
    </row>
    <row r="47" spans="1:24" ht="15" customHeight="1" thickTop="1">
      <c r="A47" s="1705">
        <v>46081</v>
      </c>
      <c r="B47" s="1706"/>
      <c r="C47" s="1707"/>
      <c r="D47" s="1708">
        <v>0</v>
      </c>
      <c r="E47" s="1709"/>
      <c r="F47" s="489">
        <v>0</v>
      </c>
      <c r="G47" s="583">
        <v>0</v>
      </c>
      <c r="H47" s="584">
        <v>0</v>
      </c>
      <c r="I47" s="575"/>
    </row>
    <row r="48" spans="1:24" ht="15" customHeight="1">
      <c r="A48" s="1717">
        <v>46112</v>
      </c>
      <c r="B48" s="1718"/>
      <c r="C48" s="1719"/>
      <c r="D48" s="1708">
        <v>0</v>
      </c>
      <c r="E48" s="1709"/>
      <c r="F48" s="489">
        <v>0</v>
      </c>
      <c r="G48" s="583">
        <v>0</v>
      </c>
      <c r="H48" s="584">
        <v>0</v>
      </c>
      <c r="I48" s="575"/>
    </row>
    <row r="49" spans="1:9">
      <c r="A49" s="1705">
        <v>46142</v>
      </c>
      <c r="B49" s="1706"/>
      <c r="C49" s="1707"/>
      <c r="D49" s="1708">
        <v>0</v>
      </c>
      <c r="E49" s="1709"/>
      <c r="F49" s="490">
        <f>$L$41</f>
        <v>0</v>
      </c>
      <c r="G49" s="583">
        <v>0</v>
      </c>
      <c r="H49" s="584">
        <v>0</v>
      </c>
      <c r="I49" s="575"/>
    </row>
    <row r="50" spans="1:9">
      <c r="A50" s="1717">
        <v>46173</v>
      </c>
      <c r="B50" s="1718"/>
      <c r="C50" s="1719"/>
      <c r="D50" s="1708">
        <v>0</v>
      </c>
      <c r="E50" s="1709"/>
      <c r="F50" s="490">
        <f t="shared" ref="F50:F57" si="15">$L$41</f>
        <v>0</v>
      </c>
      <c r="G50" s="583">
        <v>0</v>
      </c>
      <c r="H50" s="584">
        <v>0</v>
      </c>
      <c r="I50" s="575"/>
    </row>
    <row r="51" spans="1:9">
      <c r="A51" s="1705">
        <v>46203</v>
      </c>
      <c r="B51" s="1706"/>
      <c r="C51" s="1707"/>
      <c r="D51" s="1708">
        <v>0</v>
      </c>
      <c r="E51" s="1709"/>
      <c r="F51" s="490">
        <f t="shared" si="15"/>
        <v>0</v>
      </c>
      <c r="G51" s="583">
        <v>0</v>
      </c>
      <c r="H51" s="584">
        <v>0</v>
      </c>
      <c r="I51" s="575"/>
    </row>
    <row r="52" spans="1:9">
      <c r="A52" s="1717">
        <v>46234</v>
      </c>
      <c r="B52" s="1718"/>
      <c r="C52" s="1719"/>
      <c r="D52" s="1708">
        <v>0</v>
      </c>
      <c r="E52" s="1709"/>
      <c r="F52" s="490">
        <f t="shared" si="15"/>
        <v>0</v>
      </c>
      <c r="G52" s="583">
        <v>0</v>
      </c>
      <c r="H52" s="584">
        <v>0</v>
      </c>
      <c r="I52" s="575"/>
    </row>
    <row r="53" spans="1:9">
      <c r="A53" s="1705">
        <v>46265</v>
      </c>
      <c r="B53" s="1706"/>
      <c r="C53" s="1707"/>
      <c r="D53" s="1708">
        <v>0</v>
      </c>
      <c r="E53" s="1709"/>
      <c r="F53" s="490">
        <f t="shared" si="15"/>
        <v>0</v>
      </c>
      <c r="G53" s="583">
        <v>0</v>
      </c>
      <c r="H53" s="584">
        <v>0</v>
      </c>
      <c r="I53" s="575"/>
    </row>
    <row r="54" spans="1:9">
      <c r="A54" s="1717">
        <v>46295</v>
      </c>
      <c r="B54" s="1718"/>
      <c r="C54" s="1719"/>
      <c r="D54" s="1708">
        <v>0</v>
      </c>
      <c r="E54" s="1709"/>
      <c r="F54" s="490">
        <f t="shared" si="15"/>
        <v>0</v>
      </c>
      <c r="G54" s="583">
        <v>0</v>
      </c>
      <c r="H54" s="584">
        <v>0</v>
      </c>
      <c r="I54" s="575"/>
    </row>
    <row r="55" spans="1:9">
      <c r="A55" s="1705">
        <v>46326</v>
      </c>
      <c r="B55" s="1706"/>
      <c r="C55" s="1707"/>
      <c r="D55" s="1708">
        <v>0</v>
      </c>
      <c r="E55" s="1709"/>
      <c r="F55" s="490">
        <f t="shared" si="15"/>
        <v>0</v>
      </c>
      <c r="G55" s="583">
        <v>0</v>
      </c>
      <c r="H55" s="584">
        <v>0</v>
      </c>
      <c r="I55" s="575"/>
    </row>
    <row r="56" spans="1:9">
      <c r="A56" s="1717">
        <v>46356</v>
      </c>
      <c r="B56" s="1718"/>
      <c r="C56" s="1719"/>
      <c r="D56" s="1708">
        <v>0</v>
      </c>
      <c r="E56" s="1709"/>
      <c r="F56" s="490">
        <f t="shared" si="15"/>
        <v>0</v>
      </c>
      <c r="G56" s="583">
        <v>0</v>
      </c>
      <c r="H56" s="584">
        <v>0</v>
      </c>
      <c r="I56" s="575"/>
    </row>
    <row r="57" spans="1:9" ht="15.75" thickBot="1">
      <c r="A57" s="1705">
        <v>46387</v>
      </c>
      <c r="B57" s="1706"/>
      <c r="C57" s="1707"/>
      <c r="D57" s="1710">
        <v>0</v>
      </c>
      <c r="E57" s="1711"/>
      <c r="F57" s="490">
        <f t="shared" si="15"/>
        <v>0</v>
      </c>
      <c r="G57" s="583">
        <v>0</v>
      </c>
      <c r="H57" s="584">
        <v>0</v>
      </c>
      <c r="I57" s="575"/>
    </row>
    <row r="58" spans="1:9" ht="15.75" thickBot="1">
      <c r="A58" s="1712" t="s">
        <v>662</v>
      </c>
      <c r="B58" s="1713"/>
      <c r="C58" s="1714"/>
      <c r="D58" s="1715"/>
      <c r="E58" s="1716"/>
      <c r="F58" s="585">
        <f>SUM(F46:F57)</f>
        <v>0</v>
      </c>
      <c r="G58" s="586" t="s">
        <v>34</v>
      </c>
      <c r="H58" s="585">
        <f t="shared" ref="H58" si="16">SUM(H46:H57)</f>
        <v>0</v>
      </c>
      <c r="I58" s="587">
        <f t="shared" ref="I58:I103" si="17">F58+H58</f>
        <v>0</v>
      </c>
    </row>
    <row r="59" spans="1:9">
      <c r="A59" s="1717">
        <v>46418</v>
      </c>
      <c r="B59" s="1718"/>
      <c r="C59" s="1719"/>
      <c r="D59" s="1720">
        <v>0</v>
      </c>
      <c r="E59" s="1721"/>
      <c r="F59" s="584">
        <f>$L$41</f>
        <v>0</v>
      </c>
      <c r="G59" s="583">
        <v>0</v>
      </c>
      <c r="H59" s="584">
        <v>0</v>
      </c>
      <c r="I59" s="575"/>
    </row>
    <row r="60" spans="1:9">
      <c r="A60" s="1705">
        <v>46446</v>
      </c>
      <c r="B60" s="1706"/>
      <c r="C60" s="1707"/>
      <c r="D60" s="1708">
        <v>0</v>
      </c>
      <c r="E60" s="1709"/>
      <c r="F60" s="584">
        <f t="shared" ref="F60:F70" si="18">$L$41</f>
        <v>0</v>
      </c>
      <c r="G60" s="583">
        <v>0</v>
      </c>
      <c r="H60" s="584">
        <v>0</v>
      </c>
      <c r="I60" s="575"/>
    </row>
    <row r="61" spans="1:9">
      <c r="A61" s="1717">
        <v>46477</v>
      </c>
      <c r="B61" s="1718"/>
      <c r="C61" s="1719"/>
      <c r="D61" s="1708">
        <v>0</v>
      </c>
      <c r="E61" s="1709"/>
      <c r="F61" s="584">
        <f t="shared" si="18"/>
        <v>0</v>
      </c>
      <c r="G61" s="583">
        <v>0</v>
      </c>
      <c r="H61" s="584">
        <v>0</v>
      </c>
      <c r="I61" s="575"/>
    </row>
    <row r="62" spans="1:9">
      <c r="A62" s="1705">
        <v>46507</v>
      </c>
      <c r="B62" s="1706"/>
      <c r="C62" s="1707"/>
      <c r="D62" s="1708">
        <v>0</v>
      </c>
      <c r="E62" s="1709"/>
      <c r="F62" s="584">
        <f t="shared" si="18"/>
        <v>0</v>
      </c>
      <c r="G62" s="583">
        <v>0</v>
      </c>
      <c r="H62" s="584">
        <v>0</v>
      </c>
      <c r="I62" s="575"/>
    </row>
    <row r="63" spans="1:9">
      <c r="A63" s="1717">
        <v>46538</v>
      </c>
      <c r="B63" s="1718"/>
      <c r="C63" s="1719"/>
      <c r="D63" s="1708">
        <v>0</v>
      </c>
      <c r="E63" s="1709"/>
      <c r="F63" s="584">
        <f t="shared" si="18"/>
        <v>0</v>
      </c>
      <c r="G63" s="583">
        <v>0</v>
      </c>
      <c r="H63" s="584">
        <v>0</v>
      </c>
      <c r="I63" s="575"/>
    </row>
    <row r="64" spans="1:9">
      <c r="A64" s="1705">
        <v>46568</v>
      </c>
      <c r="B64" s="1706"/>
      <c r="C64" s="1707"/>
      <c r="D64" s="1708">
        <v>0</v>
      </c>
      <c r="E64" s="1709"/>
      <c r="F64" s="584">
        <f t="shared" si="18"/>
        <v>0</v>
      </c>
      <c r="G64" s="583">
        <v>0</v>
      </c>
      <c r="H64" s="584">
        <v>0</v>
      </c>
      <c r="I64" s="575"/>
    </row>
    <row r="65" spans="1:9">
      <c r="A65" s="1717">
        <v>46599</v>
      </c>
      <c r="B65" s="1718"/>
      <c r="C65" s="1719"/>
      <c r="D65" s="1708">
        <v>0</v>
      </c>
      <c r="E65" s="1709"/>
      <c r="F65" s="584">
        <f t="shared" si="18"/>
        <v>0</v>
      </c>
      <c r="G65" s="583">
        <v>0</v>
      </c>
      <c r="H65" s="584">
        <v>0</v>
      </c>
      <c r="I65" s="575"/>
    </row>
    <row r="66" spans="1:9">
      <c r="A66" s="1705">
        <v>46630</v>
      </c>
      <c r="B66" s="1706"/>
      <c r="C66" s="1707"/>
      <c r="D66" s="1708">
        <v>0</v>
      </c>
      <c r="E66" s="1709"/>
      <c r="F66" s="584">
        <f t="shared" si="18"/>
        <v>0</v>
      </c>
      <c r="G66" s="583">
        <v>0</v>
      </c>
      <c r="H66" s="584">
        <v>0</v>
      </c>
      <c r="I66" s="575"/>
    </row>
    <row r="67" spans="1:9">
      <c r="A67" s="1717">
        <v>46660</v>
      </c>
      <c r="B67" s="1718"/>
      <c r="C67" s="1719"/>
      <c r="D67" s="1708">
        <v>0</v>
      </c>
      <c r="E67" s="1709"/>
      <c r="F67" s="584">
        <f t="shared" si="18"/>
        <v>0</v>
      </c>
      <c r="G67" s="583">
        <v>0</v>
      </c>
      <c r="H67" s="584">
        <v>0</v>
      </c>
      <c r="I67" s="575"/>
    </row>
    <row r="68" spans="1:9">
      <c r="A68" s="1705">
        <v>46691</v>
      </c>
      <c r="B68" s="1706"/>
      <c r="C68" s="1707"/>
      <c r="D68" s="1708">
        <v>0</v>
      </c>
      <c r="E68" s="1709"/>
      <c r="F68" s="584">
        <f t="shared" si="18"/>
        <v>0</v>
      </c>
      <c r="G68" s="583">
        <v>0</v>
      </c>
      <c r="H68" s="584">
        <v>0</v>
      </c>
      <c r="I68" s="575"/>
    </row>
    <row r="69" spans="1:9">
      <c r="A69" s="1717">
        <v>46721</v>
      </c>
      <c r="B69" s="1718"/>
      <c r="C69" s="1719"/>
      <c r="D69" s="1708">
        <v>0</v>
      </c>
      <c r="E69" s="1709"/>
      <c r="F69" s="584">
        <f t="shared" si="18"/>
        <v>0</v>
      </c>
      <c r="G69" s="583">
        <v>0</v>
      </c>
      <c r="H69" s="584">
        <v>0</v>
      </c>
      <c r="I69" s="575"/>
    </row>
    <row r="70" spans="1:9" ht="15.75" thickBot="1">
      <c r="A70" s="1705">
        <v>46752</v>
      </c>
      <c r="B70" s="1706"/>
      <c r="C70" s="1707"/>
      <c r="D70" s="1710">
        <v>0</v>
      </c>
      <c r="E70" s="1711"/>
      <c r="F70" s="584">
        <f t="shared" si="18"/>
        <v>0</v>
      </c>
      <c r="G70" s="583">
        <v>0</v>
      </c>
      <c r="H70" s="584">
        <v>0</v>
      </c>
      <c r="I70" s="575"/>
    </row>
    <row r="71" spans="1:9" ht="15.75" thickBot="1">
      <c r="A71" s="1712" t="s">
        <v>663</v>
      </c>
      <c r="B71" s="1713"/>
      <c r="C71" s="1714"/>
      <c r="D71" s="1715" t="s">
        <v>34</v>
      </c>
      <c r="E71" s="1716"/>
      <c r="F71" s="585">
        <f>SUM(F59:F70)</f>
        <v>0</v>
      </c>
      <c r="G71" s="585" t="s">
        <v>34</v>
      </c>
      <c r="H71" s="585">
        <f t="shared" ref="H71" si="19">SUM(H59:H70)</f>
        <v>0</v>
      </c>
      <c r="I71" s="587">
        <f t="shared" si="17"/>
        <v>0</v>
      </c>
    </row>
    <row r="72" spans="1:9">
      <c r="A72" s="1717">
        <v>46783</v>
      </c>
      <c r="B72" s="1718"/>
      <c r="C72" s="1719"/>
      <c r="D72" s="1720">
        <v>0</v>
      </c>
      <c r="E72" s="1721"/>
      <c r="F72" s="584">
        <f>$L$41</f>
        <v>0</v>
      </c>
      <c r="G72" s="584">
        <v>0</v>
      </c>
      <c r="H72" s="584">
        <v>0</v>
      </c>
      <c r="I72" s="575"/>
    </row>
    <row r="73" spans="1:9">
      <c r="A73" s="1705">
        <v>46811</v>
      </c>
      <c r="B73" s="1706"/>
      <c r="C73" s="1707"/>
      <c r="D73" s="1708">
        <v>0</v>
      </c>
      <c r="E73" s="1709"/>
      <c r="F73" s="584">
        <f t="shared" ref="F73:F83" si="20">$L$41</f>
        <v>0</v>
      </c>
      <c r="G73" s="584">
        <v>0</v>
      </c>
      <c r="H73" s="584">
        <v>0</v>
      </c>
      <c r="I73" s="575"/>
    </row>
    <row r="74" spans="1:9">
      <c r="A74" s="1717">
        <v>46839</v>
      </c>
      <c r="B74" s="1718"/>
      <c r="C74" s="1719"/>
      <c r="D74" s="1708">
        <v>0</v>
      </c>
      <c r="E74" s="1709"/>
      <c r="F74" s="584">
        <f t="shared" si="20"/>
        <v>0</v>
      </c>
      <c r="G74" s="584">
        <v>0</v>
      </c>
      <c r="H74" s="584">
        <v>0</v>
      </c>
      <c r="I74" s="575"/>
    </row>
    <row r="75" spans="1:9">
      <c r="A75" s="1705">
        <v>46867</v>
      </c>
      <c r="B75" s="1706"/>
      <c r="C75" s="1707"/>
      <c r="D75" s="1708">
        <v>0</v>
      </c>
      <c r="E75" s="1709"/>
      <c r="F75" s="584">
        <f t="shared" si="20"/>
        <v>0</v>
      </c>
      <c r="G75" s="584">
        <v>0</v>
      </c>
      <c r="H75" s="584">
        <v>0</v>
      </c>
      <c r="I75" s="575"/>
    </row>
    <row r="76" spans="1:9">
      <c r="A76" s="1717">
        <v>46895</v>
      </c>
      <c r="B76" s="1718"/>
      <c r="C76" s="1719"/>
      <c r="D76" s="1708">
        <v>0</v>
      </c>
      <c r="E76" s="1709"/>
      <c r="F76" s="584">
        <f t="shared" si="20"/>
        <v>0</v>
      </c>
      <c r="G76" s="584">
        <v>0</v>
      </c>
      <c r="H76" s="584">
        <v>0</v>
      </c>
      <c r="I76" s="575"/>
    </row>
    <row r="77" spans="1:9">
      <c r="A77" s="1705">
        <v>46923</v>
      </c>
      <c r="B77" s="1706"/>
      <c r="C77" s="1707"/>
      <c r="D77" s="1708">
        <v>0</v>
      </c>
      <c r="E77" s="1709"/>
      <c r="F77" s="584">
        <f t="shared" si="20"/>
        <v>0</v>
      </c>
      <c r="G77" s="584">
        <v>0</v>
      </c>
      <c r="H77" s="584">
        <v>0</v>
      </c>
      <c r="I77" s="575"/>
    </row>
    <row r="78" spans="1:9">
      <c r="A78" s="1717">
        <v>46951</v>
      </c>
      <c r="B78" s="1718"/>
      <c r="C78" s="1719"/>
      <c r="D78" s="1708">
        <v>0</v>
      </c>
      <c r="E78" s="1709"/>
      <c r="F78" s="584">
        <f t="shared" si="20"/>
        <v>0</v>
      </c>
      <c r="G78" s="584">
        <v>0</v>
      </c>
      <c r="H78" s="584">
        <v>0</v>
      </c>
      <c r="I78" s="575"/>
    </row>
    <row r="79" spans="1:9">
      <c r="A79" s="1705">
        <v>46979</v>
      </c>
      <c r="B79" s="1706"/>
      <c r="C79" s="1707"/>
      <c r="D79" s="1708">
        <v>0</v>
      </c>
      <c r="E79" s="1709"/>
      <c r="F79" s="584">
        <f t="shared" si="20"/>
        <v>0</v>
      </c>
      <c r="G79" s="584">
        <v>0</v>
      </c>
      <c r="H79" s="584">
        <v>0</v>
      </c>
      <c r="I79" s="575"/>
    </row>
    <row r="80" spans="1:9">
      <c r="A80" s="1717">
        <v>47007</v>
      </c>
      <c r="B80" s="1718"/>
      <c r="C80" s="1719"/>
      <c r="D80" s="1708">
        <v>0</v>
      </c>
      <c r="E80" s="1709"/>
      <c r="F80" s="584">
        <f t="shared" si="20"/>
        <v>0</v>
      </c>
      <c r="G80" s="584">
        <v>0</v>
      </c>
      <c r="H80" s="584">
        <v>0</v>
      </c>
      <c r="I80" s="575"/>
    </row>
    <row r="81" spans="1:9">
      <c r="A81" s="1705">
        <v>47035</v>
      </c>
      <c r="B81" s="1706"/>
      <c r="C81" s="1707"/>
      <c r="D81" s="1708">
        <v>0</v>
      </c>
      <c r="E81" s="1709"/>
      <c r="F81" s="584">
        <f t="shared" si="20"/>
        <v>0</v>
      </c>
      <c r="G81" s="584">
        <v>0</v>
      </c>
      <c r="H81" s="584">
        <v>0</v>
      </c>
      <c r="I81" s="575"/>
    </row>
    <row r="82" spans="1:9">
      <c r="A82" s="1717">
        <v>47063</v>
      </c>
      <c r="B82" s="1718"/>
      <c r="C82" s="1719"/>
      <c r="D82" s="1708">
        <v>0</v>
      </c>
      <c r="E82" s="1709"/>
      <c r="F82" s="584">
        <f t="shared" si="20"/>
        <v>0</v>
      </c>
      <c r="G82" s="584">
        <v>0</v>
      </c>
      <c r="H82" s="584">
        <v>0</v>
      </c>
      <c r="I82" s="575"/>
    </row>
    <row r="83" spans="1:9" ht="15.75" thickBot="1">
      <c r="A83" s="1705">
        <v>47091</v>
      </c>
      <c r="B83" s="1706"/>
      <c r="C83" s="1707"/>
      <c r="D83" s="1710">
        <v>0</v>
      </c>
      <c r="E83" s="1711"/>
      <c r="F83" s="584">
        <f t="shared" si="20"/>
        <v>0</v>
      </c>
      <c r="G83" s="584">
        <v>0</v>
      </c>
      <c r="H83" s="584">
        <v>0</v>
      </c>
      <c r="I83" s="575"/>
    </row>
    <row r="84" spans="1:9" ht="15.75" thickBot="1">
      <c r="A84" s="1712" t="s">
        <v>664</v>
      </c>
      <c r="B84" s="1713"/>
      <c r="C84" s="1714"/>
      <c r="D84" s="1715" t="s">
        <v>34</v>
      </c>
      <c r="E84" s="1716"/>
      <c r="F84" s="585">
        <f>SUM(F72:F83)</f>
        <v>0</v>
      </c>
      <c r="G84" s="585" t="s">
        <v>34</v>
      </c>
      <c r="H84" s="585">
        <f t="shared" ref="H84" si="21">SUM(H72:H83)</f>
        <v>0</v>
      </c>
      <c r="I84" s="587">
        <f t="shared" si="17"/>
        <v>0</v>
      </c>
    </row>
    <row r="85" spans="1:9">
      <c r="A85" s="1717">
        <v>47149</v>
      </c>
      <c r="B85" s="1718"/>
      <c r="C85" s="1719"/>
      <c r="D85" s="1720">
        <v>0</v>
      </c>
      <c r="E85" s="1721"/>
      <c r="F85" s="584">
        <f>$L$41</f>
        <v>0</v>
      </c>
      <c r="G85" s="584">
        <v>0</v>
      </c>
      <c r="H85" s="584">
        <v>0</v>
      </c>
      <c r="I85" s="575"/>
    </row>
    <row r="86" spans="1:9">
      <c r="A86" s="1705">
        <v>47177</v>
      </c>
      <c r="B86" s="1706"/>
      <c r="C86" s="1707"/>
      <c r="D86" s="1708">
        <v>0</v>
      </c>
      <c r="E86" s="1709"/>
      <c r="F86" s="584">
        <f t="shared" ref="F86:F96" si="22">$L$41</f>
        <v>0</v>
      </c>
      <c r="G86" s="584">
        <v>0</v>
      </c>
      <c r="H86" s="584">
        <v>0</v>
      </c>
      <c r="I86" s="575"/>
    </row>
    <row r="87" spans="1:9">
      <c r="A87" s="1717">
        <v>47208</v>
      </c>
      <c r="B87" s="1718"/>
      <c r="C87" s="1719"/>
      <c r="D87" s="1708">
        <v>0</v>
      </c>
      <c r="E87" s="1709"/>
      <c r="F87" s="584">
        <f t="shared" si="22"/>
        <v>0</v>
      </c>
      <c r="G87" s="584">
        <v>0</v>
      </c>
      <c r="H87" s="584">
        <v>0</v>
      </c>
      <c r="I87" s="575"/>
    </row>
    <row r="88" spans="1:9">
      <c r="A88" s="1705">
        <v>47238</v>
      </c>
      <c r="B88" s="1706"/>
      <c r="C88" s="1707"/>
      <c r="D88" s="1708">
        <v>0</v>
      </c>
      <c r="E88" s="1709"/>
      <c r="F88" s="584">
        <f t="shared" si="22"/>
        <v>0</v>
      </c>
      <c r="G88" s="584">
        <v>0</v>
      </c>
      <c r="H88" s="584">
        <v>0</v>
      </c>
      <c r="I88" s="575"/>
    </row>
    <row r="89" spans="1:9">
      <c r="A89" s="1717">
        <v>47269</v>
      </c>
      <c r="B89" s="1718"/>
      <c r="C89" s="1719"/>
      <c r="D89" s="1708">
        <v>0</v>
      </c>
      <c r="E89" s="1709"/>
      <c r="F89" s="584">
        <f t="shared" si="22"/>
        <v>0</v>
      </c>
      <c r="G89" s="584">
        <v>0</v>
      </c>
      <c r="H89" s="584">
        <v>0</v>
      </c>
      <c r="I89" s="575"/>
    </row>
    <row r="90" spans="1:9">
      <c r="A90" s="1705">
        <v>47299</v>
      </c>
      <c r="B90" s="1706"/>
      <c r="C90" s="1707"/>
      <c r="D90" s="1708">
        <v>0</v>
      </c>
      <c r="E90" s="1709"/>
      <c r="F90" s="584">
        <f t="shared" si="22"/>
        <v>0</v>
      </c>
      <c r="G90" s="584">
        <v>0</v>
      </c>
      <c r="H90" s="584">
        <v>0</v>
      </c>
      <c r="I90" s="575"/>
    </row>
    <row r="91" spans="1:9">
      <c r="A91" s="1717">
        <v>47330</v>
      </c>
      <c r="B91" s="1718"/>
      <c r="C91" s="1719"/>
      <c r="D91" s="1708">
        <v>0</v>
      </c>
      <c r="E91" s="1709"/>
      <c r="F91" s="584">
        <f t="shared" si="22"/>
        <v>0</v>
      </c>
      <c r="G91" s="584">
        <v>0</v>
      </c>
      <c r="H91" s="584">
        <v>0</v>
      </c>
      <c r="I91" s="575"/>
    </row>
    <row r="92" spans="1:9">
      <c r="A92" s="1705">
        <v>47361</v>
      </c>
      <c r="B92" s="1706"/>
      <c r="C92" s="1707"/>
      <c r="D92" s="1708">
        <v>0</v>
      </c>
      <c r="E92" s="1709"/>
      <c r="F92" s="584">
        <f t="shared" si="22"/>
        <v>0</v>
      </c>
      <c r="G92" s="584">
        <v>0</v>
      </c>
      <c r="H92" s="584">
        <v>0</v>
      </c>
      <c r="I92" s="575"/>
    </row>
    <row r="93" spans="1:9">
      <c r="A93" s="1717">
        <v>47391</v>
      </c>
      <c r="B93" s="1718"/>
      <c r="C93" s="1719"/>
      <c r="D93" s="1708">
        <v>0</v>
      </c>
      <c r="E93" s="1709"/>
      <c r="F93" s="584">
        <f t="shared" si="22"/>
        <v>0</v>
      </c>
      <c r="G93" s="584">
        <v>0</v>
      </c>
      <c r="H93" s="584">
        <v>0</v>
      </c>
      <c r="I93" s="575"/>
    </row>
    <row r="94" spans="1:9">
      <c r="A94" s="1705">
        <v>47422</v>
      </c>
      <c r="B94" s="1706"/>
      <c r="C94" s="1707"/>
      <c r="D94" s="1708">
        <v>0</v>
      </c>
      <c r="E94" s="1709"/>
      <c r="F94" s="584">
        <f t="shared" si="22"/>
        <v>0</v>
      </c>
      <c r="G94" s="584">
        <v>0</v>
      </c>
      <c r="H94" s="584">
        <v>0</v>
      </c>
      <c r="I94" s="575"/>
    </row>
    <row r="95" spans="1:9">
      <c r="A95" s="1717">
        <v>47452</v>
      </c>
      <c r="B95" s="1718"/>
      <c r="C95" s="1719"/>
      <c r="D95" s="1708">
        <v>0</v>
      </c>
      <c r="E95" s="1709"/>
      <c r="F95" s="584">
        <f t="shared" si="22"/>
        <v>0</v>
      </c>
      <c r="G95" s="584">
        <v>0</v>
      </c>
      <c r="H95" s="584">
        <v>0</v>
      </c>
      <c r="I95" s="575"/>
    </row>
    <row r="96" spans="1:9" ht="15.75" thickBot="1">
      <c r="A96" s="1705">
        <v>47483</v>
      </c>
      <c r="B96" s="1706"/>
      <c r="C96" s="1707"/>
      <c r="D96" s="1710">
        <v>0</v>
      </c>
      <c r="E96" s="1711"/>
      <c r="F96" s="584">
        <f t="shared" si="22"/>
        <v>0</v>
      </c>
      <c r="G96" s="584">
        <v>0</v>
      </c>
      <c r="H96" s="584">
        <v>0</v>
      </c>
      <c r="I96" s="575"/>
    </row>
    <row r="97" spans="1:12" ht="15.75" thickBot="1">
      <c r="A97" s="1712" t="s">
        <v>665</v>
      </c>
      <c r="B97" s="1713"/>
      <c r="C97" s="1714"/>
      <c r="D97" s="1715" t="s">
        <v>34</v>
      </c>
      <c r="E97" s="1716"/>
      <c r="F97" s="585">
        <f>SUM(F85:F96)</f>
        <v>0</v>
      </c>
      <c r="G97" s="585" t="s">
        <v>34</v>
      </c>
      <c r="H97" s="585">
        <f t="shared" ref="H97" si="23">SUM(H85:H96)</f>
        <v>0</v>
      </c>
      <c r="I97" s="587">
        <f t="shared" si="17"/>
        <v>0</v>
      </c>
    </row>
    <row r="98" spans="1:12">
      <c r="A98" s="1717">
        <v>47514</v>
      </c>
      <c r="B98" s="1718"/>
      <c r="C98" s="1719"/>
      <c r="D98" s="1720">
        <v>0</v>
      </c>
      <c r="E98" s="1721"/>
      <c r="F98" s="584">
        <f>$L$41</f>
        <v>0</v>
      </c>
      <c r="G98" s="584">
        <v>0</v>
      </c>
      <c r="H98" s="582">
        <v>0</v>
      </c>
      <c r="I98" s="575"/>
    </row>
    <row r="99" spans="1:12">
      <c r="A99" s="1705">
        <v>47542</v>
      </c>
      <c r="B99" s="1706"/>
      <c r="C99" s="1707"/>
      <c r="D99" s="1708">
        <v>0</v>
      </c>
      <c r="E99" s="1709"/>
      <c r="F99" s="584">
        <f t="shared" ref="F99:F100" si="24">$L$41</f>
        <v>0</v>
      </c>
      <c r="G99" s="490">
        <v>0</v>
      </c>
      <c r="H99" s="489">
        <v>0</v>
      </c>
      <c r="I99" s="575"/>
    </row>
    <row r="100" spans="1:12" ht="15.75" thickBot="1">
      <c r="A100" s="1729">
        <v>47573</v>
      </c>
      <c r="B100" s="1730"/>
      <c r="C100" s="1731"/>
      <c r="D100" s="1710">
        <v>0</v>
      </c>
      <c r="E100" s="1711"/>
      <c r="F100" s="584">
        <f t="shared" si="24"/>
        <v>0</v>
      </c>
      <c r="G100" s="581">
        <v>0</v>
      </c>
      <c r="H100" s="581">
        <v>0</v>
      </c>
      <c r="I100" s="575"/>
    </row>
    <row r="101" spans="1:12" ht="15.75" thickBot="1">
      <c r="A101" s="1712" t="s">
        <v>666</v>
      </c>
      <c r="B101" s="1713"/>
      <c r="C101" s="1714"/>
      <c r="D101" s="1715" t="s">
        <v>34</v>
      </c>
      <c r="E101" s="1716"/>
      <c r="F101" s="585">
        <f>SUM(F98:F100)</f>
        <v>0</v>
      </c>
      <c r="G101" s="585" t="s">
        <v>34</v>
      </c>
      <c r="H101" s="585">
        <f t="shared" ref="H101" si="25">SUM(H98:H100)</f>
        <v>0</v>
      </c>
      <c r="I101" s="587">
        <f t="shared" si="17"/>
        <v>0</v>
      </c>
    </row>
    <row r="102" spans="1:12" ht="15.75" thickBot="1">
      <c r="A102" s="576"/>
      <c r="B102" s="411"/>
      <c r="C102" s="411"/>
      <c r="D102" s="412"/>
      <c r="E102" s="412"/>
      <c r="F102" s="413"/>
      <c r="G102" s="414"/>
      <c r="H102" s="415"/>
      <c r="I102" s="575"/>
    </row>
    <row r="103" spans="1:12" ht="15.75" thickBot="1">
      <c r="A103" s="1732" t="s">
        <v>160</v>
      </c>
      <c r="B103" s="1733"/>
      <c r="C103" s="1734"/>
      <c r="D103" s="1735" t="s">
        <v>34</v>
      </c>
      <c r="E103" s="1736"/>
      <c r="F103" s="531">
        <f>F45+F58+F71+F84+F97+F101</f>
        <v>0</v>
      </c>
      <c r="G103" s="416" t="s">
        <v>34</v>
      </c>
      <c r="H103" s="416">
        <f>H45+H58+H71+H84+H97+H101</f>
        <v>0</v>
      </c>
      <c r="I103" s="574">
        <f t="shared" si="17"/>
        <v>0</v>
      </c>
      <c r="K103" s="493" t="s">
        <v>85</v>
      </c>
      <c r="L103" s="591">
        <f>I45+I58+I71+I84+I97+I101</f>
        <v>0</v>
      </c>
    </row>
    <row r="104" spans="1:12">
      <c r="A104" s="577"/>
      <c r="I104" s="573"/>
      <c r="L104" s="592"/>
    </row>
    <row r="105" spans="1:12" ht="15.75" thickBot="1">
      <c r="A105" s="1725" t="s">
        <v>195</v>
      </c>
      <c r="B105" s="1726"/>
      <c r="C105" s="1726"/>
      <c r="F105" s="601">
        <f>L42</f>
        <v>0</v>
      </c>
      <c r="I105" s="573"/>
      <c r="L105" s="592"/>
    </row>
    <row r="106" spans="1:12" ht="15.75" thickBot="1">
      <c r="A106" s="1722" t="s">
        <v>160</v>
      </c>
      <c r="B106" s="1723"/>
      <c r="C106" s="1724"/>
      <c r="D106" s="1727" t="s">
        <v>34</v>
      </c>
      <c r="E106" s="1728"/>
      <c r="F106" s="578">
        <f>F103+F105</f>
        <v>0</v>
      </c>
      <c r="G106" s="579" t="s">
        <v>34</v>
      </c>
      <c r="H106" s="579">
        <f>H103</f>
        <v>0</v>
      </c>
      <c r="I106" s="580">
        <f>I103+F105</f>
        <v>0</v>
      </c>
      <c r="K106" s="493" t="s">
        <v>85</v>
      </c>
      <c r="L106" s="591">
        <f>F106+H106</f>
        <v>0</v>
      </c>
    </row>
    <row r="107" spans="1:12">
      <c r="L107" s="592"/>
    </row>
    <row r="108" spans="1:12">
      <c r="A108" s="330" t="s">
        <v>668</v>
      </c>
    </row>
  </sheetData>
  <protectedRanges>
    <protectedRange algorithmName="SHA-512" hashValue="6Q2UFM6+SM9fXnENLCSNaK7NQQXspLGmLGgv7Se3L14iidKMvvlSZ/lHz3YBPXyMyWuvaKdiF4zdpZSw33FHwQ==" saltValue="bH20+8wWTnwCv92IJf8DoA==" spinCount="100000" sqref="C10:C12 C14:C16 C29:L29 C31:L32 U52:U60 T61:U61 D98:H100 D38:H44 D46:H57 D59:H70 D72:H83 D85:H96" name="Oblast1"/>
    <protectedRange algorithmName="SHA-512" hashValue="xsIGMeFqDISEs1GG50ocfck+fNAmFaYFnTnRXO5bj85+YQXgbq8zivv4SayYU17AKi6nxAQqtCnqsc9qenwFKQ==" saltValue="9zQUsgt/xTt7MEulrZZj0A==" spinCount="100000" sqref="S7:S10 S15:S19 S26:S32 W8:W17 W22:W30 S38:S44 W35:W43" name="Oblast2"/>
  </protectedRanges>
  <mergeCells count="138">
    <mergeCell ref="A1:B1"/>
    <mergeCell ref="A97:C97"/>
    <mergeCell ref="D97:E97"/>
    <mergeCell ref="A98:C98"/>
    <mergeCell ref="D98:E98"/>
    <mergeCell ref="A99:C99"/>
    <mergeCell ref="D99:E99"/>
    <mergeCell ref="A94:C94"/>
    <mergeCell ref="D94:E94"/>
    <mergeCell ref="A95:C95"/>
    <mergeCell ref="D95:E95"/>
    <mergeCell ref="A96:C96"/>
    <mergeCell ref="D96:E96"/>
    <mergeCell ref="A92:C92"/>
    <mergeCell ref="D92:E92"/>
    <mergeCell ref="A93:C93"/>
    <mergeCell ref="D93:E93"/>
    <mergeCell ref="A88:C88"/>
    <mergeCell ref="D88:E88"/>
    <mergeCell ref="A89:C89"/>
    <mergeCell ref="D89:E89"/>
    <mergeCell ref="A90:C90"/>
    <mergeCell ref="D90:E90"/>
    <mergeCell ref="A91:C91"/>
    <mergeCell ref="A106:C106"/>
    <mergeCell ref="A105:C105"/>
    <mergeCell ref="D106:E106"/>
    <mergeCell ref="A100:C100"/>
    <mergeCell ref="D100:E100"/>
    <mergeCell ref="A101:C101"/>
    <mergeCell ref="D101:E101"/>
    <mergeCell ref="A103:C103"/>
    <mergeCell ref="D103:E103"/>
    <mergeCell ref="D91:E91"/>
    <mergeCell ref="A85:C85"/>
    <mergeCell ref="D85:E85"/>
    <mergeCell ref="A86:C86"/>
    <mergeCell ref="D86:E86"/>
    <mergeCell ref="A87:C87"/>
    <mergeCell ref="D87:E87"/>
    <mergeCell ref="A82:C82"/>
    <mergeCell ref="D82:E82"/>
    <mergeCell ref="A83:C83"/>
    <mergeCell ref="D83:E83"/>
    <mergeCell ref="A84:C84"/>
    <mergeCell ref="D84:E84"/>
    <mergeCell ref="A79:C79"/>
    <mergeCell ref="D79:E79"/>
    <mergeCell ref="A80:C80"/>
    <mergeCell ref="D80:E80"/>
    <mergeCell ref="A81:C81"/>
    <mergeCell ref="D81:E81"/>
    <mergeCell ref="A76:C76"/>
    <mergeCell ref="D76:E76"/>
    <mergeCell ref="A77:C77"/>
    <mergeCell ref="D77:E77"/>
    <mergeCell ref="A78:C78"/>
    <mergeCell ref="D78:E78"/>
    <mergeCell ref="A73:C73"/>
    <mergeCell ref="D73:E73"/>
    <mergeCell ref="A74:C74"/>
    <mergeCell ref="D74:E74"/>
    <mergeCell ref="A75:C75"/>
    <mergeCell ref="D75:E75"/>
    <mergeCell ref="A70:C70"/>
    <mergeCell ref="D70:E70"/>
    <mergeCell ref="A71:C71"/>
    <mergeCell ref="D71:E71"/>
    <mergeCell ref="A72:C72"/>
    <mergeCell ref="D72:E72"/>
    <mergeCell ref="A67:C67"/>
    <mergeCell ref="D67:E67"/>
    <mergeCell ref="A68:C68"/>
    <mergeCell ref="D68:E68"/>
    <mergeCell ref="A69:C69"/>
    <mergeCell ref="D69:E69"/>
    <mergeCell ref="A64:C64"/>
    <mergeCell ref="D64:E64"/>
    <mergeCell ref="A65:C65"/>
    <mergeCell ref="D65:E65"/>
    <mergeCell ref="A66:C66"/>
    <mergeCell ref="D66:E66"/>
    <mergeCell ref="A61:C61"/>
    <mergeCell ref="D61:E61"/>
    <mergeCell ref="A62:C62"/>
    <mergeCell ref="D62:E62"/>
    <mergeCell ref="A63:C63"/>
    <mergeCell ref="D63:E63"/>
    <mergeCell ref="A58:C58"/>
    <mergeCell ref="D58:E58"/>
    <mergeCell ref="A59:C59"/>
    <mergeCell ref="D59:E59"/>
    <mergeCell ref="A60:C60"/>
    <mergeCell ref="D60:E60"/>
    <mergeCell ref="A55:C55"/>
    <mergeCell ref="D55:E55"/>
    <mergeCell ref="A56:C56"/>
    <mergeCell ref="D56:E56"/>
    <mergeCell ref="A57:C57"/>
    <mergeCell ref="D57:E57"/>
    <mergeCell ref="A52:C52"/>
    <mergeCell ref="D52:E52"/>
    <mergeCell ref="A53:C53"/>
    <mergeCell ref="D53:E53"/>
    <mergeCell ref="A54:C54"/>
    <mergeCell ref="D54:E54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44:C44"/>
    <mergeCell ref="D44:E44"/>
    <mergeCell ref="A45:C45"/>
    <mergeCell ref="D45:E45"/>
    <mergeCell ref="A40:C40"/>
    <mergeCell ref="D40:E40"/>
    <mergeCell ref="A41:C41"/>
    <mergeCell ref="D41:E41"/>
    <mergeCell ref="A42:C42"/>
    <mergeCell ref="D42:E42"/>
    <mergeCell ref="N37:O37"/>
    <mergeCell ref="A37:C37"/>
    <mergeCell ref="D37:E37"/>
    <mergeCell ref="A38:C38"/>
    <mergeCell ref="D38:E38"/>
    <mergeCell ref="A39:C39"/>
    <mergeCell ref="D39:E39"/>
    <mergeCell ref="A43:C43"/>
    <mergeCell ref="D43:E43"/>
    <mergeCell ref="K37:L37"/>
  </mergeCells>
  <pageMargins left="0.7" right="0.7" top="0.78740157499999996" bottom="0.78740157499999996" header="0.3" footer="0.3"/>
  <pageSetup paperSize="9" scale="55" orientation="landscape" r:id="rId1"/>
  <ignoredErrors>
    <ignoredError sqref="F58 F71 F84 F97 D9" formula="1"/>
    <ignoredError sqref="C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  <pageSetUpPr fitToPage="1"/>
  </sheetPr>
  <dimension ref="A1:N24"/>
  <sheetViews>
    <sheetView showGridLines="0" zoomScaleNormal="100" workbookViewId="0">
      <selection activeCell="H36" sqref="H36"/>
    </sheetView>
  </sheetViews>
  <sheetFormatPr defaultRowHeight="15"/>
  <cols>
    <col min="1" max="1" width="9.7109375" customWidth="1"/>
    <col min="2" max="2" width="10.140625" customWidth="1"/>
    <col min="3" max="3" width="19.140625" customWidth="1"/>
    <col min="4" max="4" width="22.7109375" customWidth="1"/>
    <col min="5" max="5" width="17.42578125" customWidth="1"/>
    <col min="6" max="6" width="17.85546875" customWidth="1"/>
    <col min="7" max="7" width="12.7109375" customWidth="1"/>
    <col min="8" max="8" width="17.5703125" customWidth="1"/>
    <col min="9" max="9" width="18.140625" customWidth="1"/>
    <col min="10" max="10" width="10.7109375" customWidth="1"/>
    <col min="11" max="11" width="20.5703125" customWidth="1"/>
    <col min="12" max="12" width="17" bestFit="1" customWidth="1"/>
    <col min="13" max="13" width="23.85546875" customWidth="1"/>
    <col min="14" max="14" width="24.28515625" customWidth="1"/>
    <col min="15" max="15" width="14.5703125" customWidth="1"/>
    <col min="16" max="16" width="14.42578125" customWidth="1"/>
    <col min="18" max="19" width="12.7109375" bestFit="1" customWidth="1"/>
  </cols>
  <sheetData>
    <row r="1" spans="1:14" ht="16.5" customHeight="1">
      <c r="A1" s="1743" t="str">
        <f>'Položkový rozpočet projektu'!A1:A1</f>
        <v>Modelový projekt: "Zvýšení technologické vybavenosti společnosti Šroub &amp; Matka, spol. s r.o. v Ostravě"</v>
      </c>
      <c r="B1" s="1743"/>
      <c r="C1" s="1743"/>
      <c r="D1" s="1743"/>
      <c r="E1" s="1743"/>
      <c r="F1" s="1743"/>
      <c r="G1" s="1743"/>
    </row>
    <row r="2" spans="1:14" ht="15.75">
      <c r="B2" s="38"/>
      <c r="C2" s="38"/>
      <c r="D2" s="38"/>
    </row>
    <row r="3" spans="1:14" ht="15.75" thickBot="1"/>
    <row r="4" spans="1:14" ht="16.5" thickBot="1">
      <c r="A4" s="1605" t="s">
        <v>639</v>
      </c>
      <c r="B4" s="1606"/>
      <c r="C4" s="1606"/>
      <c r="D4" s="1607"/>
      <c r="E4" s="61"/>
      <c r="G4" s="518" t="s">
        <v>311</v>
      </c>
      <c r="K4" s="1744" t="s">
        <v>611</v>
      </c>
      <c r="L4" s="1745"/>
      <c r="M4" s="1746"/>
      <c r="N4" s="518" t="s">
        <v>612</v>
      </c>
    </row>
    <row r="5" spans="1:14" ht="16.5" thickBot="1">
      <c r="A5" s="42"/>
      <c r="B5" s="41"/>
      <c r="C5" s="41"/>
      <c r="D5" s="38"/>
      <c r="K5" s="2"/>
      <c r="L5" s="2"/>
      <c r="M5" s="2"/>
      <c r="N5" s="2"/>
    </row>
    <row r="6" spans="1:14" ht="48.75" customHeight="1" thickBot="1">
      <c r="A6" s="1747" t="s">
        <v>26</v>
      </c>
      <c r="B6" s="1748"/>
      <c r="C6" s="504" t="s">
        <v>27</v>
      </c>
      <c r="D6" s="241" t="s">
        <v>24</v>
      </c>
      <c r="E6" s="241" t="s">
        <v>28</v>
      </c>
      <c r="F6" s="242" t="s">
        <v>487</v>
      </c>
      <c r="G6" s="242" t="s">
        <v>194</v>
      </c>
      <c r="H6" s="242" t="s">
        <v>200</v>
      </c>
      <c r="I6" s="242" t="s">
        <v>312</v>
      </c>
      <c r="J6" s="243"/>
      <c r="K6" s="1747" t="s">
        <v>613</v>
      </c>
      <c r="L6" s="1748"/>
      <c r="M6" s="271" t="s">
        <v>614</v>
      </c>
      <c r="N6" s="272" t="s">
        <v>615</v>
      </c>
    </row>
    <row r="7" spans="1:14">
      <c r="A7" s="1752">
        <v>2025</v>
      </c>
      <c r="B7" s="509" t="s">
        <v>30</v>
      </c>
      <c r="C7" s="924">
        <v>0</v>
      </c>
      <c r="D7" s="505">
        <v>0</v>
      </c>
      <c r="E7" s="247">
        <f t="shared" ref="E7:E10" si="0">SUM(C7:D7)</f>
        <v>0</v>
      </c>
      <c r="F7" s="924">
        <v>0</v>
      </c>
      <c r="G7" s="512">
        <v>0</v>
      </c>
      <c r="H7" s="511">
        <v>0</v>
      </c>
      <c r="I7" s="514">
        <f>SUM(F7:H7)</f>
        <v>0</v>
      </c>
      <c r="J7" s="243"/>
      <c r="K7" s="1749">
        <v>2025</v>
      </c>
      <c r="L7" s="248" t="s">
        <v>30</v>
      </c>
      <c r="M7" s="270"/>
      <c r="N7" s="249"/>
    </row>
    <row r="8" spans="1:14">
      <c r="A8" s="1753"/>
      <c r="B8" s="245" t="s">
        <v>31</v>
      </c>
      <c r="C8" s="925">
        <v>0</v>
      </c>
      <c r="D8" s="506">
        <f>'Položkový rozpočet projektu'!J21+'Položkový rozpočet projektu'!J22</f>
        <v>242000</v>
      </c>
      <c r="E8" s="276">
        <f t="shared" si="0"/>
        <v>242000</v>
      </c>
      <c r="F8" s="925">
        <v>0</v>
      </c>
      <c r="G8" s="512">
        <v>0</v>
      </c>
      <c r="H8" s="512">
        <f>E8</f>
        <v>242000</v>
      </c>
      <c r="I8" s="515">
        <f>SUM(F8:H8)</f>
        <v>242000</v>
      </c>
      <c r="J8" s="243"/>
      <c r="K8" s="1750"/>
      <c r="L8" s="245" t="s">
        <v>31</v>
      </c>
      <c r="M8" s="250"/>
      <c r="N8" s="249"/>
    </row>
    <row r="9" spans="1:14">
      <c r="A9" s="1753"/>
      <c r="B9" s="245" t="s">
        <v>32</v>
      </c>
      <c r="C9" s="925">
        <f>'Investiční náklady_vznik'!D22*0.75</f>
        <v>10448406</v>
      </c>
      <c r="D9" s="506">
        <f>'Položkový rozpočet projektu'!F18*0.75</f>
        <v>2194165.2599999998</v>
      </c>
      <c r="E9" s="276">
        <f t="shared" si="0"/>
        <v>12642571.26</v>
      </c>
      <c r="F9" s="925">
        <v>0</v>
      </c>
      <c r="G9" s="512">
        <f>'Zdroje financování'!U57</f>
        <v>0</v>
      </c>
      <c r="H9" s="512">
        <f>E9</f>
        <v>12642571.26</v>
      </c>
      <c r="I9" s="515">
        <f>SUM(F9:H9)</f>
        <v>12642571.26</v>
      </c>
      <c r="J9" s="243"/>
      <c r="K9" s="1750"/>
      <c r="L9" s="245" t="s">
        <v>32</v>
      </c>
      <c r="M9" s="250"/>
      <c r="N9" s="244"/>
    </row>
    <row r="10" spans="1:14" ht="15.75" thickBot="1">
      <c r="A10" s="1753"/>
      <c r="B10" s="510" t="s">
        <v>33</v>
      </c>
      <c r="C10" s="926">
        <f>'Investiční náklady_vznik'!D22*0.25</f>
        <v>3482802</v>
      </c>
      <c r="D10" s="507">
        <f>'Položkový rozpočet projektu'!F18*0.25+'Položkový rozpočet projektu'!J20</f>
        <v>735018.41999999993</v>
      </c>
      <c r="E10" s="276">
        <f t="shared" si="0"/>
        <v>4217820.42</v>
      </c>
      <c r="F10" s="926">
        <f>'Zdroje financování'!D16</f>
        <v>4875922.8</v>
      </c>
      <c r="G10" s="512">
        <v>0</v>
      </c>
      <c r="H10" s="513">
        <f>E10-F10</f>
        <v>-658102.37999999989</v>
      </c>
      <c r="I10" s="516">
        <f>SUM(F10:H10)</f>
        <v>4217820.42</v>
      </c>
      <c r="J10" s="243"/>
      <c r="K10" s="1751"/>
      <c r="L10" s="251" t="s">
        <v>33</v>
      </c>
      <c r="M10" s="1473">
        <f>C11</f>
        <v>13931208</v>
      </c>
      <c r="N10" s="246">
        <f>C11</f>
        <v>13931208</v>
      </c>
    </row>
    <row r="11" spans="1:14" ht="15.75" thickBot="1">
      <c r="A11" s="1754"/>
      <c r="B11" s="258" t="s">
        <v>41</v>
      </c>
      <c r="C11" s="508">
        <f>SUM(C7:C10)</f>
        <v>13931208</v>
      </c>
      <c r="D11" s="252">
        <f>SUM(D7:D10)</f>
        <v>3171183.6799999997</v>
      </c>
      <c r="E11" s="253">
        <f>SUM(C11:D11)</f>
        <v>17102391.68</v>
      </c>
      <c r="F11" s="252">
        <f>SUM(F7:F10)</f>
        <v>4875922.8</v>
      </c>
      <c r="G11" s="252">
        <f>SUM(G7:G10)</f>
        <v>0</v>
      </c>
      <c r="H11" s="508">
        <f>SUM(H7:H10)</f>
        <v>12226468.879999999</v>
      </c>
      <c r="I11" s="254">
        <f>SUM(I7:I10)</f>
        <v>17102391.68</v>
      </c>
      <c r="J11" s="243"/>
      <c r="K11" s="255"/>
      <c r="L11" s="256"/>
      <c r="M11" s="249"/>
      <c r="N11" s="257"/>
    </row>
    <row r="12" spans="1:14" ht="15.75" thickBot="1">
      <c r="A12" s="330"/>
      <c r="B12" s="21"/>
      <c r="C12" s="21"/>
      <c r="D12" s="21"/>
      <c r="E12" s="21"/>
      <c r="F12" s="21"/>
      <c r="G12" s="21"/>
      <c r="H12" s="21"/>
      <c r="I12" s="21"/>
      <c r="J12" s="21"/>
      <c r="K12" s="258" t="s">
        <v>41</v>
      </c>
      <c r="L12" s="259" t="s">
        <v>34</v>
      </c>
      <c r="M12" s="260">
        <f>SUM(M7:M10)</f>
        <v>13931208</v>
      </c>
      <c r="N12" s="261">
        <f>SUM(N7:N11)</f>
        <v>13931208</v>
      </c>
    </row>
    <row r="13" spans="1:14" ht="15.75" thickBot="1">
      <c r="A13" s="791" t="s">
        <v>416</v>
      </c>
      <c r="B13" s="791"/>
      <c r="C13" s="792">
        <f>'Položkový rozpočet projektu'!F16</f>
        <v>13931208</v>
      </c>
      <c r="D13" s="793">
        <f>'Položkový rozpočet projektu'!F17</f>
        <v>3171183.6799999997</v>
      </c>
      <c r="E13" s="792">
        <f>'Položkový rozpočet projektu'!F23</f>
        <v>17102391.68</v>
      </c>
      <c r="F13" s="792">
        <f>'Položkový rozpočet projektu'!F24</f>
        <v>4875922.8</v>
      </c>
      <c r="G13" s="792">
        <f>'Zdroje financování'!L38</f>
        <v>0</v>
      </c>
      <c r="H13" s="792">
        <f>'Položkový rozpočet projektu'!L31</f>
        <v>12226468.879999999</v>
      </c>
      <c r="I13" s="792">
        <f>'Zdroje financování'!C17</f>
        <v>17102391.68</v>
      </c>
      <c r="J13" s="5"/>
      <c r="K13" s="177"/>
      <c r="L13" s="177"/>
      <c r="M13" s="143"/>
      <c r="N13" s="143"/>
    </row>
    <row r="14" spans="1:14">
      <c r="A14" s="2" t="s">
        <v>660</v>
      </c>
      <c r="B14" s="5"/>
      <c r="C14" s="5"/>
      <c r="D14" s="5"/>
      <c r="E14" s="5"/>
      <c r="F14" s="5"/>
      <c r="G14" s="5"/>
      <c r="H14" s="84"/>
      <c r="I14" s="5"/>
      <c r="J14" s="5"/>
      <c r="K14" s="177"/>
      <c r="L14" s="177"/>
      <c r="M14" s="143"/>
      <c r="N14" s="143"/>
    </row>
    <row r="16" spans="1:14" ht="15.75">
      <c r="A16" s="39" t="s">
        <v>617</v>
      </c>
      <c r="B16" s="21"/>
      <c r="C16" s="21"/>
      <c r="D16" s="1531" t="s">
        <v>670</v>
      </c>
      <c r="F16" s="21"/>
      <c r="G16" s="21"/>
      <c r="H16" s="21"/>
      <c r="I16" s="21"/>
      <c r="J16" s="5"/>
      <c r="K16" s="39" t="s">
        <v>621</v>
      </c>
      <c r="L16" s="262"/>
      <c r="M16" s="263"/>
      <c r="N16" s="263"/>
    </row>
    <row r="17" spans="1:14" ht="16.5" thickBot="1">
      <c r="A17" s="21"/>
      <c r="B17" s="21"/>
      <c r="C17" s="21"/>
      <c r="D17" s="21"/>
      <c r="E17" s="21"/>
      <c r="F17" s="21"/>
      <c r="G17" s="21"/>
      <c r="H17" s="1222"/>
      <c r="I17" s="21"/>
      <c r="J17" s="5"/>
      <c r="K17" s="39"/>
      <c r="L17" s="262"/>
      <c r="M17" s="263"/>
      <c r="N17" s="263"/>
    </row>
    <row r="18" spans="1:14" ht="16.5" thickBot="1">
      <c r="A18" s="1737" t="s">
        <v>43</v>
      </c>
      <c r="B18" s="1738"/>
      <c r="C18" s="1738"/>
      <c r="D18" s="1738"/>
      <c r="E18" s="1739"/>
      <c r="F18" s="273">
        <v>0</v>
      </c>
      <c r="H18" s="64"/>
      <c r="J18" s="5"/>
      <c r="K18" s="264" t="s">
        <v>618</v>
      </c>
      <c r="L18" s="264" t="s">
        <v>619</v>
      </c>
      <c r="M18" s="265" t="s">
        <v>620</v>
      </c>
      <c r="N18" s="265" t="s">
        <v>46</v>
      </c>
    </row>
    <row r="19" spans="1:14" ht="16.5" thickBot="1">
      <c r="A19" s="1740" t="s">
        <v>44</v>
      </c>
      <c r="B19" s="1741"/>
      <c r="C19" s="1741"/>
      <c r="D19" s="1741"/>
      <c r="E19" s="1742"/>
      <c r="F19" s="274">
        <f>C11-F18</f>
        <v>13931208</v>
      </c>
      <c r="J19" s="5"/>
      <c r="K19" s="266" t="s">
        <v>47</v>
      </c>
      <c r="L19" s="267">
        <v>46001</v>
      </c>
      <c r="M19" s="268">
        <f>C11</f>
        <v>13931208</v>
      </c>
      <c r="N19" s="269">
        <f>M19/C11</f>
        <v>1</v>
      </c>
    </row>
    <row r="20" spans="1:14" ht="16.5" thickBot="1">
      <c r="A20" s="1737" t="s">
        <v>42</v>
      </c>
      <c r="B20" s="1738"/>
      <c r="C20" s="1738"/>
      <c r="D20" s="1738"/>
      <c r="E20" s="1739"/>
      <c r="F20" s="391">
        <v>0.35</v>
      </c>
      <c r="J20" s="5"/>
      <c r="K20" s="5"/>
      <c r="L20" s="5"/>
      <c r="M20" s="5"/>
      <c r="N20" s="5"/>
    </row>
    <row r="21" spans="1:14" ht="16.5" thickBot="1">
      <c r="A21" s="1218" t="s">
        <v>658</v>
      </c>
      <c r="B21" s="1219"/>
      <c r="C21" s="1219"/>
      <c r="D21" s="1219"/>
      <c r="E21" s="1220"/>
      <c r="F21" s="794">
        <f>C13*F20</f>
        <v>4875922.8</v>
      </c>
      <c r="J21" s="62"/>
      <c r="K21" s="5"/>
      <c r="L21" s="5"/>
      <c r="M21" s="5"/>
      <c r="N21" s="5"/>
    </row>
    <row r="22" spans="1:14" ht="16.5" thickBot="1">
      <c r="A22" s="1737" t="s">
        <v>657</v>
      </c>
      <c r="B22" s="1738"/>
      <c r="C22" s="1738"/>
      <c r="D22" s="1738"/>
      <c r="E22" s="1739"/>
      <c r="F22" s="275">
        <v>1</v>
      </c>
      <c r="J22" s="62"/>
      <c r="K22" s="5"/>
      <c r="L22" s="5"/>
      <c r="M22" s="5"/>
      <c r="N22" s="5"/>
    </row>
    <row r="23" spans="1:14" ht="15.75">
      <c r="A23" s="330"/>
      <c r="B23" s="62"/>
      <c r="C23" s="62"/>
      <c r="D23" s="62"/>
      <c r="E23" s="62"/>
      <c r="F23" s="62"/>
      <c r="G23" s="62"/>
      <c r="H23" s="62"/>
      <c r="I23" s="62"/>
      <c r="J23" s="62"/>
      <c r="K23" s="63"/>
      <c r="L23" s="5"/>
      <c r="M23" s="5"/>
      <c r="N23" s="5"/>
    </row>
    <row r="24" spans="1:14" ht="15.75">
      <c r="A24" s="330" t="s">
        <v>669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</row>
  </sheetData>
  <mergeCells count="10">
    <mergeCell ref="K4:M4"/>
    <mergeCell ref="K6:L6"/>
    <mergeCell ref="K7:K10"/>
    <mergeCell ref="A6:B6"/>
    <mergeCell ref="A7:A11"/>
    <mergeCell ref="A22:E22"/>
    <mergeCell ref="A20:E20"/>
    <mergeCell ref="A18:E18"/>
    <mergeCell ref="A19:E19"/>
    <mergeCell ref="A1:G1"/>
  </mergeCells>
  <pageMargins left="0.7" right="0.7" top="0.78740157499999996" bottom="0.78740157499999996" header="0.3" footer="0.3"/>
  <pageSetup paperSize="9" scale="71" orientation="landscape" r:id="rId1"/>
  <ignoredErrors>
    <ignoredError sqref="E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  <pageSetUpPr fitToPage="1"/>
  </sheetPr>
  <dimension ref="A1:Z1483"/>
  <sheetViews>
    <sheetView showGridLines="0" topLeftCell="A92" zoomScale="90" zoomScaleNormal="90" zoomScaleSheetLayoutView="80" workbookViewId="0">
      <selection activeCell="A170" sqref="A170"/>
    </sheetView>
  </sheetViews>
  <sheetFormatPr defaultColWidth="9.140625" defaultRowHeight="15"/>
  <cols>
    <col min="1" max="1" width="100.7109375" style="3" customWidth="1"/>
    <col min="2" max="2" width="13.140625" style="798" customWidth="1"/>
    <col min="3" max="3" width="25.42578125" style="798" customWidth="1"/>
    <col min="4" max="4" width="15.140625" style="6" customWidth="1"/>
    <col min="5" max="6" width="13.7109375" style="7" customWidth="1"/>
    <col min="7" max="7" width="14.85546875" style="7" bestFit="1" customWidth="1"/>
    <col min="8" max="8" width="13.7109375" style="7" customWidth="1"/>
    <col min="9" max="9" width="18.5703125" style="7" bestFit="1" customWidth="1"/>
    <col min="10" max="12" width="13.7109375" style="7" customWidth="1"/>
    <col min="13" max="13" width="18.5703125" style="7" bestFit="1" customWidth="1"/>
    <col min="14" max="14" width="19.85546875" style="3" customWidth="1"/>
    <col min="15" max="15" width="13.5703125" style="3" bestFit="1" customWidth="1"/>
    <col min="16" max="16" width="14" style="3" customWidth="1"/>
    <col min="17" max="17" width="17" style="3" customWidth="1"/>
    <col min="18" max="20" width="9.85546875" style="3" bestFit="1" customWidth="1"/>
    <col min="21" max="21" width="9.140625" style="3"/>
    <col min="22" max="22" width="72.7109375" style="3" customWidth="1"/>
    <col min="23" max="23" width="10.28515625" style="3" customWidth="1"/>
    <col min="24" max="24" width="12.140625" style="3" customWidth="1"/>
    <col min="25" max="25" width="9.140625" style="3"/>
    <col min="26" max="26" width="17.42578125" style="3" customWidth="1"/>
    <col min="27" max="16384" width="9.140625" style="3"/>
  </cols>
  <sheetData>
    <row r="1" spans="1:24" ht="21" customHeight="1">
      <c r="A1" s="1604" t="str">
        <f>'Položkový rozpočet projektu'!A1:A1</f>
        <v>Modelový projekt: "Zvýšení technologické vybavenosti společnosti Šroub &amp; Matka, spol. s r.o. v Ostravě"</v>
      </c>
      <c r="B1" s="796"/>
      <c r="C1" s="796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4" ht="15.75" thickBot="1">
      <c r="A2"/>
      <c r="B2" s="796"/>
      <c r="C2" s="796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4" ht="19.5" thickBot="1">
      <c r="A3" s="700" t="s">
        <v>626</v>
      </c>
      <c r="B3" s="797"/>
      <c r="C3" s="797"/>
      <c r="D3" s="525"/>
      <c r="E3" s="525"/>
      <c r="F3" s="525"/>
      <c r="G3" s="525"/>
      <c r="H3" s="525"/>
      <c r="I3" s="525"/>
      <c r="J3" s="525"/>
      <c r="K3" s="525"/>
      <c r="L3" s="525"/>
      <c r="M3" s="814"/>
    </row>
    <row r="4" spans="1:24" ht="15.75" thickBot="1">
      <c r="A4" s="27"/>
      <c r="D4" s="3"/>
      <c r="E4" s="3"/>
      <c r="F4" s="3"/>
      <c r="G4" s="3"/>
      <c r="H4" s="3"/>
      <c r="I4" s="3"/>
      <c r="J4" s="3"/>
      <c r="K4" s="3"/>
      <c r="L4" s="3"/>
      <c r="M4" s="538"/>
    </row>
    <row r="5" spans="1:24" ht="15.75" thickBot="1">
      <c r="A5" s="815" t="s">
        <v>62</v>
      </c>
      <c r="B5" s="799" t="s">
        <v>14</v>
      </c>
      <c r="C5" s="1255">
        <v>2023</v>
      </c>
      <c r="D5" s="28">
        <v>2025</v>
      </c>
      <c r="E5" s="32">
        <v>2026</v>
      </c>
      <c r="F5" s="32">
        <v>2027</v>
      </c>
      <c r="G5" s="32">
        <v>2028</v>
      </c>
      <c r="H5" s="32">
        <v>2029</v>
      </c>
      <c r="I5" s="32">
        <v>2030</v>
      </c>
      <c r="J5" s="32">
        <v>2031</v>
      </c>
      <c r="K5" s="32">
        <v>2032</v>
      </c>
      <c r="L5" s="32">
        <v>2033</v>
      </c>
      <c r="M5" s="32">
        <v>2034</v>
      </c>
      <c r="N5" s="1852" t="s">
        <v>162</v>
      </c>
      <c r="O5" s="1854"/>
      <c r="P5" s="1855" t="s">
        <v>210</v>
      </c>
      <c r="Q5" s="1856"/>
      <c r="R5" s="1008"/>
      <c r="S5" s="537"/>
      <c r="T5" s="537"/>
      <c r="U5" s="537"/>
      <c r="V5" s="61"/>
      <c r="W5" s="1877" t="s">
        <v>158</v>
      </c>
      <c r="X5" s="1878"/>
    </row>
    <row r="6" spans="1:24" ht="18.95" customHeight="1" thickBot="1">
      <c r="A6" s="816"/>
      <c r="B6" s="800"/>
      <c r="C6" s="1540" t="s">
        <v>534</v>
      </c>
      <c r="D6" s="872" t="s">
        <v>429</v>
      </c>
      <c r="E6" s="873" t="s">
        <v>40</v>
      </c>
      <c r="F6" s="873" t="s">
        <v>40</v>
      </c>
      <c r="G6" s="873" t="s">
        <v>40</v>
      </c>
      <c r="H6" s="873" t="s">
        <v>40</v>
      </c>
      <c r="I6" s="873" t="s">
        <v>40</v>
      </c>
      <c r="J6" s="873" t="s">
        <v>40</v>
      </c>
      <c r="K6" s="873" t="s">
        <v>40</v>
      </c>
      <c r="L6" s="873" t="s">
        <v>40</v>
      </c>
      <c r="M6" s="874" t="s">
        <v>40</v>
      </c>
      <c r="P6" s="27"/>
      <c r="V6" s="487"/>
      <c r="W6" s="556"/>
      <c r="X6" s="557"/>
    </row>
    <row r="7" spans="1:24" s="52" customFormat="1" ht="16.5" thickBot="1">
      <c r="A7" s="857" t="s">
        <v>309</v>
      </c>
      <c r="B7" s="867" t="s">
        <v>2</v>
      </c>
      <c r="C7" s="1539" t="s">
        <v>622</v>
      </c>
      <c r="D7" s="1257" t="s">
        <v>430</v>
      </c>
      <c r="E7" s="1258">
        <v>12</v>
      </c>
      <c r="F7" s="1259">
        <v>12</v>
      </c>
      <c r="G7" s="1259">
        <v>12</v>
      </c>
      <c r="H7" s="1259">
        <v>12</v>
      </c>
      <c r="I7" s="1259">
        <v>12</v>
      </c>
      <c r="J7" s="1259">
        <v>12</v>
      </c>
      <c r="K7" s="1259">
        <v>12</v>
      </c>
      <c r="L7" s="1259">
        <v>12</v>
      </c>
      <c r="M7" s="1260">
        <v>12</v>
      </c>
      <c r="P7" s="1542" t="s">
        <v>316</v>
      </c>
      <c r="Q7" s="1543"/>
      <c r="R7" s="1543"/>
      <c r="S7" s="1543"/>
      <c r="T7" s="1543"/>
      <c r="U7" s="1543"/>
      <c r="V7" s="487"/>
      <c r="W7" s="541"/>
      <c r="X7" s="540"/>
    </row>
    <row r="8" spans="1:24" ht="15.75" thickBot="1">
      <c r="A8" s="31"/>
      <c r="B8" s="801"/>
      <c r="C8" s="801"/>
      <c r="D8" s="23"/>
      <c r="E8" s="12"/>
      <c r="F8" s="9"/>
      <c r="G8" s="9"/>
      <c r="H8" s="9"/>
      <c r="I8" s="9"/>
      <c r="J8" s="9"/>
      <c r="K8" s="9"/>
      <c r="L8" s="9"/>
      <c r="M8" s="19"/>
      <c r="P8" s="27"/>
      <c r="V8" s="487"/>
      <c r="W8" s="541"/>
      <c r="X8" s="540"/>
    </row>
    <row r="9" spans="1:24" ht="15.75" thickBot="1">
      <c r="A9" s="29" t="s">
        <v>131</v>
      </c>
      <c r="B9" s="131" t="s">
        <v>1</v>
      </c>
      <c r="C9" s="1266">
        <f>(SUM(C11:C12)*C10)</f>
        <v>29689039.142400004</v>
      </c>
      <c r="D9" s="92">
        <f>SUM(D11:D12)*D10</f>
        <v>0</v>
      </c>
      <c r="E9" s="280">
        <f t="shared" ref="E9:H9" si="0">SUM(E11:E12)*E10</f>
        <v>0</v>
      </c>
      <c r="F9" s="207">
        <f t="shared" si="0"/>
        <v>0</v>
      </c>
      <c r="G9" s="207">
        <f t="shared" si="0"/>
        <v>0</v>
      </c>
      <c r="H9" s="207">
        <f t="shared" si="0"/>
        <v>0</v>
      </c>
      <c r="I9" s="207">
        <f>SUM(I11:I12)*I10</f>
        <v>0</v>
      </c>
      <c r="J9" s="93">
        <f>SUM(J11:J12)*J10</f>
        <v>0</v>
      </c>
      <c r="K9" s="93">
        <f t="shared" ref="K9:M9" si="1">SUM(K11:K12)*K10</f>
        <v>0</v>
      </c>
      <c r="L9" s="93">
        <f t="shared" si="1"/>
        <v>0</v>
      </c>
      <c r="M9" s="817">
        <f t="shared" si="1"/>
        <v>0</v>
      </c>
      <c r="N9" s="150">
        <f>SUM(D9:M9)</f>
        <v>0</v>
      </c>
      <c r="P9" s="546"/>
      <c r="Q9" s="149"/>
      <c r="V9" s="487"/>
      <c r="W9" s="541"/>
      <c r="X9" s="540"/>
    </row>
    <row r="10" spans="1:24">
      <c r="A10" s="818" t="s">
        <v>13</v>
      </c>
      <c r="B10" s="802" t="s">
        <v>12</v>
      </c>
      <c r="C10" s="1267">
        <f>C70</f>
        <v>96</v>
      </c>
      <c r="D10" s="96">
        <f>W10</f>
        <v>0</v>
      </c>
      <c r="E10" s="97">
        <f>D10</f>
        <v>0</v>
      </c>
      <c r="F10" s="97">
        <f>E10</f>
        <v>0</v>
      </c>
      <c r="G10" s="97">
        <f t="shared" ref="G10:M10" si="2">F10</f>
        <v>0</v>
      </c>
      <c r="H10" s="97">
        <f t="shared" si="2"/>
        <v>0</v>
      </c>
      <c r="I10" s="97">
        <f t="shared" si="2"/>
        <v>0</v>
      </c>
      <c r="J10" s="97">
        <f t="shared" si="2"/>
        <v>0</v>
      </c>
      <c r="K10" s="97">
        <f t="shared" si="2"/>
        <v>0</v>
      </c>
      <c r="L10" s="97">
        <f t="shared" si="2"/>
        <v>0</v>
      </c>
      <c r="M10" s="819">
        <f t="shared" si="2"/>
        <v>0</v>
      </c>
      <c r="N10" s="46"/>
      <c r="P10" s="547" t="s">
        <v>317</v>
      </c>
      <c r="V10" s="487"/>
      <c r="W10" s="1773">
        <v>0</v>
      </c>
      <c r="X10" s="1774"/>
    </row>
    <row r="11" spans="1:24">
      <c r="A11" s="820" t="s">
        <v>75</v>
      </c>
      <c r="B11" s="40" t="s">
        <v>11</v>
      </c>
      <c r="C11" s="1267">
        <f>C71</f>
        <v>230791.66</v>
      </c>
      <c r="D11" s="96">
        <f>E11*0.98/12*2</f>
        <v>0</v>
      </c>
      <c r="E11" s="97">
        <f>W11*12</f>
        <v>0</v>
      </c>
      <c r="F11" s="97">
        <f>E11*1.02</f>
        <v>0</v>
      </c>
      <c r="G11" s="97">
        <f t="shared" ref="G11:M11" si="3">F11*1.02</f>
        <v>0</v>
      </c>
      <c r="H11" s="97">
        <f t="shared" si="3"/>
        <v>0</v>
      </c>
      <c r="I11" s="97">
        <f t="shared" si="3"/>
        <v>0</v>
      </c>
      <c r="J11" s="97">
        <f t="shared" si="3"/>
        <v>0</v>
      </c>
      <c r="K11" s="97">
        <f t="shared" si="3"/>
        <v>0</v>
      </c>
      <c r="L11" s="97">
        <f t="shared" si="3"/>
        <v>0</v>
      </c>
      <c r="M11" s="819">
        <f t="shared" si="3"/>
        <v>0</v>
      </c>
      <c r="N11" s="46"/>
      <c r="P11" s="1860" t="s">
        <v>313</v>
      </c>
      <c r="Q11" s="1861"/>
      <c r="R11" s="1861"/>
      <c r="S11" s="1861"/>
      <c r="T11" s="1861"/>
      <c r="U11" s="1861"/>
      <c r="V11" s="1862"/>
      <c r="W11" s="1773">
        <v>0</v>
      </c>
      <c r="X11" s="1774"/>
    </row>
    <row r="12" spans="1:24" ht="15.75" thickBot="1">
      <c r="A12" s="27" t="s">
        <v>61</v>
      </c>
      <c r="B12" s="40" t="s">
        <v>11</v>
      </c>
      <c r="C12" s="1268">
        <f>C72</f>
        <v>78469.164400000009</v>
      </c>
      <c r="D12" s="98">
        <f>D11*0.34</f>
        <v>0</v>
      </c>
      <c r="E12" s="397">
        <f t="shared" ref="E12:M12" si="4">E11*0.34</f>
        <v>0</v>
      </c>
      <c r="F12" s="398">
        <f t="shared" si="4"/>
        <v>0</v>
      </c>
      <c r="G12" s="398">
        <f t="shared" si="4"/>
        <v>0</v>
      </c>
      <c r="H12" s="398">
        <f t="shared" si="4"/>
        <v>0</v>
      </c>
      <c r="I12" s="398">
        <f t="shared" si="4"/>
        <v>0</v>
      </c>
      <c r="J12" s="398">
        <f t="shared" si="4"/>
        <v>0</v>
      </c>
      <c r="K12" s="398">
        <f t="shared" si="4"/>
        <v>0</v>
      </c>
      <c r="L12" s="398">
        <f t="shared" si="4"/>
        <v>0</v>
      </c>
      <c r="M12" s="821">
        <f t="shared" si="4"/>
        <v>0</v>
      </c>
      <c r="N12" s="46"/>
      <c r="P12" s="27"/>
      <c r="V12" s="487"/>
      <c r="W12" s="541"/>
      <c r="X12" s="540"/>
    </row>
    <row r="13" spans="1:24" ht="15.75" thickBot="1">
      <c r="A13" s="29" t="s">
        <v>103</v>
      </c>
      <c r="B13" s="131" t="s">
        <v>1</v>
      </c>
      <c r="C13" s="1266">
        <f>C73</f>
        <v>39754888</v>
      </c>
      <c r="D13" s="100">
        <f>E13*0.98/12*2</f>
        <v>0</v>
      </c>
      <c r="E13" s="93">
        <f>W13</f>
        <v>0</v>
      </c>
      <c r="F13" s="93">
        <f>E13*1.02</f>
        <v>0</v>
      </c>
      <c r="G13" s="93">
        <f t="shared" ref="G13:M13" si="5">F13*1.02</f>
        <v>0</v>
      </c>
      <c r="H13" s="93">
        <f t="shared" si="5"/>
        <v>0</v>
      </c>
      <c r="I13" s="93">
        <f t="shared" si="5"/>
        <v>0</v>
      </c>
      <c r="J13" s="93">
        <f t="shared" si="5"/>
        <v>0</v>
      </c>
      <c r="K13" s="93">
        <f t="shared" si="5"/>
        <v>0</v>
      </c>
      <c r="L13" s="93">
        <f t="shared" si="5"/>
        <v>0</v>
      </c>
      <c r="M13" s="817">
        <f t="shared" si="5"/>
        <v>0</v>
      </c>
      <c r="N13" s="150">
        <f t="shared" ref="N13:N51" si="6">SUM(D13:M13)</f>
        <v>0</v>
      </c>
      <c r="P13" s="1860" t="s">
        <v>624</v>
      </c>
      <c r="Q13" s="1861"/>
      <c r="R13" s="1861"/>
      <c r="S13" s="1861"/>
      <c r="T13" s="1861"/>
      <c r="U13" s="1861"/>
      <c r="V13" s="1862"/>
      <c r="W13" s="1773">
        <v>0</v>
      </c>
      <c r="X13" s="1774"/>
    </row>
    <row r="14" spans="1:24" ht="15.75" thickBot="1">
      <c r="A14" s="30"/>
      <c r="B14" s="803"/>
      <c r="C14" s="1272"/>
      <c r="D14" s="101"/>
      <c r="E14" s="102"/>
      <c r="F14" s="103"/>
      <c r="G14" s="103"/>
      <c r="H14" s="103"/>
      <c r="I14" s="103"/>
      <c r="J14" s="103"/>
      <c r="K14" s="103"/>
      <c r="L14" s="103"/>
      <c r="M14" s="822"/>
      <c r="N14" s="46"/>
      <c r="P14" s="27"/>
      <c r="V14" s="487"/>
      <c r="W14" s="541"/>
      <c r="X14" s="540"/>
    </row>
    <row r="15" spans="1:24" ht="15.75" thickBot="1">
      <c r="A15" s="29" t="s">
        <v>92</v>
      </c>
      <c r="B15" s="131" t="s">
        <v>1</v>
      </c>
      <c r="C15" s="1266">
        <f>SUM(C17+C19+C21+C23+C25)</f>
        <v>4346112</v>
      </c>
      <c r="D15" s="100">
        <f>SUM(D17:D25)</f>
        <v>0</v>
      </c>
      <c r="E15" s="93">
        <f>SUM(E16:E25)</f>
        <v>0</v>
      </c>
      <c r="F15" s="93">
        <f t="shared" ref="F15:M15" si="7">SUM(F16:F25)</f>
        <v>0</v>
      </c>
      <c r="G15" s="93">
        <f t="shared" si="7"/>
        <v>0</v>
      </c>
      <c r="H15" s="93">
        <f t="shared" si="7"/>
        <v>0</v>
      </c>
      <c r="I15" s="93">
        <f t="shared" si="7"/>
        <v>0</v>
      </c>
      <c r="J15" s="93">
        <f t="shared" si="7"/>
        <v>0</v>
      </c>
      <c r="K15" s="93">
        <f t="shared" si="7"/>
        <v>0</v>
      </c>
      <c r="L15" s="93">
        <f t="shared" si="7"/>
        <v>0</v>
      </c>
      <c r="M15" s="817">
        <f t="shared" si="7"/>
        <v>0</v>
      </c>
      <c r="N15" s="150">
        <f t="shared" si="6"/>
        <v>0</v>
      </c>
      <c r="P15" s="27"/>
      <c r="V15" s="487"/>
      <c r="W15" s="541"/>
      <c r="X15" s="540"/>
    </row>
    <row r="16" spans="1:24" ht="15.75" thickBot="1">
      <c r="A16" s="31"/>
      <c r="B16" s="801"/>
      <c r="C16" s="1271"/>
      <c r="D16" s="286"/>
      <c r="E16" s="460"/>
      <c r="F16" s="461"/>
      <c r="G16" s="461"/>
      <c r="H16" s="461"/>
      <c r="I16" s="461"/>
      <c r="J16" s="461"/>
      <c r="K16" s="461"/>
      <c r="L16" s="461"/>
      <c r="M16" s="823"/>
      <c r="N16" s="150"/>
      <c r="P16" s="27"/>
      <c r="V16" s="487"/>
      <c r="W16" s="541"/>
      <c r="X16" s="540"/>
    </row>
    <row r="17" spans="1:24">
      <c r="A17" s="824" t="s">
        <v>10</v>
      </c>
      <c r="B17" s="804" t="s">
        <v>1</v>
      </c>
      <c r="C17" s="1270">
        <f>C77</f>
        <v>2153788.5</v>
      </c>
      <c r="D17" s="462">
        <f>E17*0.98/12*2</f>
        <v>0</v>
      </c>
      <c r="E17" s="463">
        <f>W17*12</f>
        <v>0</v>
      </c>
      <c r="F17" s="463">
        <f>E17*1.02</f>
        <v>0</v>
      </c>
      <c r="G17" s="463">
        <f t="shared" ref="G17:M17" si="8">F17*1.02</f>
        <v>0</v>
      </c>
      <c r="H17" s="463">
        <f t="shared" si="8"/>
        <v>0</v>
      </c>
      <c r="I17" s="463">
        <f t="shared" si="8"/>
        <v>0</v>
      </c>
      <c r="J17" s="463">
        <f t="shared" si="8"/>
        <v>0</v>
      </c>
      <c r="K17" s="463">
        <f t="shared" si="8"/>
        <v>0</v>
      </c>
      <c r="L17" s="463">
        <f t="shared" si="8"/>
        <v>0</v>
      </c>
      <c r="M17" s="825">
        <f t="shared" si="8"/>
        <v>0</v>
      </c>
      <c r="N17" s="150"/>
      <c r="P17" s="1863" t="s">
        <v>221</v>
      </c>
      <c r="Q17" s="1864"/>
      <c r="R17" s="1864"/>
      <c r="S17" s="1864"/>
      <c r="T17" s="1864"/>
      <c r="U17" s="1864"/>
      <c r="V17" s="487"/>
      <c r="W17" s="1773">
        <v>0</v>
      </c>
      <c r="X17" s="1774"/>
    </row>
    <row r="18" spans="1:24">
      <c r="A18" s="820"/>
      <c r="B18" s="40"/>
      <c r="C18" s="1268"/>
      <c r="D18" s="107"/>
      <c r="E18" s="108"/>
      <c r="F18" s="109"/>
      <c r="G18" s="109"/>
      <c r="H18" s="109"/>
      <c r="I18" s="109"/>
      <c r="J18" s="109"/>
      <c r="K18" s="109"/>
      <c r="L18" s="109"/>
      <c r="M18" s="826"/>
      <c r="N18" s="150"/>
      <c r="P18" s="27"/>
      <c r="V18" s="487"/>
      <c r="W18" s="541"/>
      <c r="X18" s="540"/>
    </row>
    <row r="19" spans="1:24">
      <c r="A19" s="827" t="s">
        <v>0</v>
      </c>
      <c r="B19" s="805" t="s">
        <v>1</v>
      </c>
      <c r="C19" s="1537">
        <f>C79</f>
        <v>1308562.5</v>
      </c>
      <c r="D19" s="105">
        <f>E19*0.98/12*2</f>
        <v>0</v>
      </c>
      <c r="E19" s="108">
        <f>W19*12</f>
        <v>0</v>
      </c>
      <c r="F19" s="108">
        <f>E19*1.02</f>
        <v>0</v>
      </c>
      <c r="G19" s="108">
        <f t="shared" ref="G19:M19" si="9">F19*1.02</f>
        <v>0</v>
      </c>
      <c r="H19" s="108">
        <f t="shared" si="9"/>
        <v>0</v>
      </c>
      <c r="I19" s="108">
        <f t="shared" si="9"/>
        <v>0</v>
      </c>
      <c r="J19" s="108">
        <f t="shared" si="9"/>
        <v>0</v>
      </c>
      <c r="K19" s="108">
        <f t="shared" si="9"/>
        <v>0</v>
      </c>
      <c r="L19" s="108">
        <f t="shared" si="9"/>
        <v>0</v>
      </c>
      <c r="M19" s="828">
        <f t="shared" si="9"/>
        <v>0</v>
      </c>
      <c r="N19" s="150"/>
      <c r="P19" s="547" t="s">
        <v>222</v>
      </c>
      <c r="V19" s="487"/>
      <c r="W19" s="1773">
        <v>0</v>
      </c>
      <c r="X19" s="1774"/>
    </row>
    <row r="20" spans="1:24">
      <c r="A20" s="820"/>
      <c r="B20" s="40"/>
      <c r="C20" s="1268"/>
      <c r="D20" s="107"/>
      <c r="E20" s="108"/>
      <c r="F20" s="109"/>
      <c r="G20" s="109"/>
      <c r="H20" s="109"/>
      <c r="I20" s="109"/>
      <c r="J20" s="109"/>
      <c r="K20" s="109"/>
      <c r="L20" s="109"/>
      <c r="M20" s="826"/>
      <c r="N20" s="150"/>
      <c r="P20" s="27"/>
      <c r="V20" s="487"/>
      <c r="W20" s="541"/>
      <c r="X20" s="540"/>
    </row>
    <row r="21" spans="1:24">
      <c r="A21" s="827" t="s">
        <v>9</v>
      </c>
      <c r="B21" s="805" t="s">
        <v>1</v>
      </c>
      <c r="C21" s="1537">
        <f>C81</f>
        <v>0</v>
      </c>
      <c r="D21" s="105">
        <f>E21*0.98/12*2</f>
        <v>0</v>
      </c>
      <c r="E21" s="108">
        <f>W21*12</f>
        <v>0</v>
      </c>
      <c r="F21" s="108">
        <f>E21*1.02</f>
        <v>0</v>
      </c>
      <c r="G21" s="108">
        <f t="shared" ref="G21:M21" si="10">F21*1.02</f>
        <v>0</v>
      </c>
      <c r="H21" s="108">
        <f t="shared" si="10"/>
        <v>0</v>
      </c>
      <c r="I21" s="108">
        <f t="shared" si="10"/>
        <v>0</v>
      </c>
      <c r="J21" s="108">
        <f t="shared" si="10"/>
        <v>0</v>
      </c>
      <c r="K21" s="108">
        <f t="shared" si="10"/>
        <v>0</v>
      </c>
      <c r="L21" s="108">
        <f t="shared" si="10"/>
        <v>0</v>
      </c>
      <c r="M21" s="828">
        <f t="shared" si="10"/>
        <v>0</v>
      </c>
      <c r="N21" s="46">
        <f t="shared" si="6"/>
        <v>0</v>
      </c>
      <c r="P21" s="547" t="s">
        <v>318</v>
      </c>
      <c r="V21" s="487"/>
      <c r="W21" s="1773">
        <v>0</v>
      </c>
      <c r="X21" s="1774"/>
    </row>
    <row r="22" spans="1:24">
      <c r="A22" s="820"/>
      <c r="B22" s="40"/>
      <c r="C22" s="1268"/>
      <c r="D22" s="107"/>
      <c r="E22" s="108"/>
      <c r="F22" s="109"/>
      <c r="G22" s="109"/>
      <c r="H22" s="109"/>
      <c r="I22" s="109"/>
      <c r="J22" s="109"/>
      <c r="K22" s="109"/>
      <c r="L22" s="109"/>
      <c r="M22" s="826"/>
      <c r="N22" s="150"/>
      <c r="P22" s="27"/>
      <c r="V22" s="487"/>
      <c r="W22" s="541"/>
      <c r="X22" s="540"/>
    </row>
    <row r="23" spans="1:24">
      <c r="A23" s="827" t="s">
        <v>8</v>
      </c>
      <c r="B23" s="805" t="s">
        <v>1</v>
      </c>
      <c r="C23" s="1537">
        <f>C83</f>
        <v>149532</v>
      </c>
      <c r="D23" s="120">
        <f>E23*0.98/12*2</f>
        <v>0</v>
      </c>
      <c r="E23" s="108">
        <f>W23*12</f>
        <v>0</v>
      </c>
      <c r="F23" s="108">
        <f>E23*1.02</f>
        <v>0</v>
      </c>
      <c r="G23" s="108">
        <f t="shared" ref="G23:M23" si="11">F23*1.02</f>
        <v>0</v>
      </c>
      <c r="H23" s="108">
        <f t="shared" si="11"/>
        <v>0</v>
      </c>
      <c r="I23" s="108">
        <f t="shared" si="11"/>
        <v>0</v>
      </c>
      <c r="J23" s="108">
        <f t="shared" si="11"/>
        <v>0</v>
      </c>
      <c r="K23" s="108">
        <f t="shared" si="11"/>
        <v>0</v>
      </c>
      <c r="L23" s="108">
        <f t="shared" si="11"/>
        <v>0</v>
      </c>
      <c r="M23" s="828">
        <f t="shared" si="11"/>
        <v>0</v>
      </c>
      <c r="N23" s="150"/>
      <c r="P23" s="547" t="s">
        <v>223</v>
      </c>
      <c r="V23" s="487"/>
      <c r="W23" s="1773">
        <v>0</v>
      </c>
      <c r="X23" s="1774"/>
    </row>
    <row r="24" spans="1:24">
      <c r="A24" s="820"/>
      <c r="B24" s="40"/>
      <c r="C24" s="1268"/>
      <c r="D24" s="107"/>
      <c r="E24" s="108"/>
      <c r="F24" s="109"/>
      <c r="G24" s="109"/>
      <c r="H24" s="109"/>
      <c r="I24" s="109"/>
      <c r="J24" s="109"/>
      <c r="K24" s="109"/>
      <c r="L24" s="109"/>
      <c r="M24" s="826"/>
      <c r="N24" s="150"/>
      <c r="P24" s="27"/>
      <c r="V24" s="487"/>
      <c r="W24" s="541"/>
      <c r="X24" s="540"/>
    </row>
    <row r="25" spans="1:24">
      <c r="A25" s="827" t="s">
        <v>7</v>
      </c>
      <c r="B25" s="805" t="s">
        <v>1</v>
      </c>
      <c r="C25" s="1537">
        <f>C85</f>
        <v>734229</v>
      </c>
      <c r="D25" s="105">
        <f>E25*0.98/12*2</f>
        <v>0</v>
      </c>
      <c r="E25" s="108">
        <f>W25*12</f>
        <v>0</v>
      </c>
      <c r="F25" s="108">
        <f>E25*1.02</f>
        <v>0</v>
      </c>
      <c r="G25" s="108">
        <f t="shared" ref="G25:M25" si="12">F25*1.02</f>
        <v>0</v>
      </c>
      <c r="H25" s="108">
        <f t="shared" si="12"/>
        <v>0</v>
      </c>
      <c r="I25" s="108">
        <f t="shared" si="12"/>
        <v>0</v>
      </c>
      <c r="J25" s="108">
        <f t="shared" si="12"/>
        <v>0</v>
      </c>
      <c r="K25" s="108">
        <f t="shared" si="12"/>
        <v>0</v>
      </c>
      <c r="L25" s="108">
        <f t="shared" si="12"/>
        <v>0</v>
      </c>
      <c r="M25" s="828">
        <f t="shared" si="12"/>
        <v>0</v>
      </c>
      <c r="N25" s="46">
        <f t="shared" si="6"/>
        <v>0</v>
      </c>
      <c r="P25" s="1860" t="s">
        <v>319</v>
      </c>
      <c r="Q25" s="1861"/>
      <c r="R25" s="1861"/>
      <c r="S25" s="1861"/>
      <c r="T25" s="1861"/>
      <c r="U25" s="1861"/>
      <c r="V25" s="1862"/>
      <c r="W25" s="1773">
        <v>0</v>
      </c>
      <c r="X25" s="1774"/>
    </row>
    <row r="26" spans="1:24" ht="15.75" thickBot="1">
      <c r="A26" s="30"/>
      <c r="B26" s="803"/>
      <c r="C26" s="1272"/>
      <c r="D26" s="110"/>
      <c r="E26" s="111"/>
      <c r="F26" s="112"/>
      <c r="G26" s="112"/>
      <c r="H26" s="112"/>
      <c r="I26" s="112"/>
      <c r="J26" s="112"/>
      <c r="K26" s="112"/>
      <c r="L26" s="112"/>
      <c r="M26" s="692"/>
      <c r="N26" s="150"/>
      <c r="P26" s="27"/>
      <c r="V26" s="487"/>
      <c r="W26" s="541"/>
      <c r="X26" s="540"/>
    </row>
    <row r="27" spans="1:24" ht="15.75" thickBot="1">
      <c r="A27" s="29" t="s">
        <v>6</v>
      </c>
      <c r="B27" s="131" t="s">
        <v>5</v>
      </c>
      <c r="C27" s="1266">
        <f>C87</f>
        <v>2966544</v>
      </c>
      <c r="D27" s="100">
        <f>E27/12*2</f>
        <v>0</v>
      </c>
      <c r="E27" s="93">
        <f>W27*12</f>
        <v>0</v>
      </c>
      <c r="F27" s="93">
        <f>E27</f>
        <v>0</v>
      </c>
      <c r="G27" s="93">
        <f t="shared" ref="G27:I27" si="13">F27</f>
        <v>0</v>
      </c>
      <c r="H27" s="93">
        <f t="shared" si="13"/>
        <v>0</v>
      </c>
      <c r="I27" s="93">
        <f t="shared" si="13"/>
        <v>0</v>
      </c>
      <c r="J27" s="94">
        <f>I27*1.15</f>
        <v>0</v>
      </c>
      <c r="K27" s="94">
        <f>J27</f>
        <v>0</v>
      </c>
      <c r="L27" s="94">
        <f t="shared" ref="L27:M27" si="14">K27</f>
        <v>0</v>
      </c>
      <c r="M27" s="829">
        <f t="shared" si="14"/>
        <v>0</v>
      </c>
      <c r="N27" s="150">
        <f t="shared" si="6"/>
        <v>0</v>
      </c>
      <c r="P27" s="547" t="s">
        <v>224</v>
      </c>
      <c r="V27" s="487"/>
      <c r="W27" s="1773">
        <v>0</v>
      </c>
      <c r="X27" s="1774"/>
    </row>
    <row r="28" spans="1:24" ht="15.75" thickBot="1">
      <c r="A28" s="30"/>
      <c r="B28" s="803"/>
      <c r="C28" s="1271"/>
      <c r="D28" s="286"/>
      <c r="E28" s="102"/>
      <c r="F28" s="103"/>
      <c r="G28" s="103"/>
      <c r="H28" s="103"/>
      <c r="I28" s="103"/>
      <c r="J28" s="103"/>
      <c r="K28" s="103"/>
      <c r="L28" s="103"/>
      <c r="M28" s="822"/>
      <c r="N28" s="46"/>
      <c r="P28" s="27"/>
      <c r="V28" s="487"/>
      <c r="W28" s="541"/>
      <c r="X28" s="540"/>
    </row>
    <row r="29" spans="1:24" ht="15.75" thickBot="1">
      <c r="A29" s="29" t="s">
        <v>4</v>
      </c>
      <c r="B29" s="131" t="s">
        <v>1</v>
      </c>
      <c r="C29" s="1266">
        <f>C89</f>
        <v>4823285.75</v>
      </c>
      <c r="D29" s="100">
        <v>0</v>
      </c>
      <c r="E29" s="113">
        <f>W29*12</f>
        <v>0</v>
      </c>
      <c r="F29" s="113">
        <f>E29</f>
        <v>0</v>
      </c>
      <c r="G29" s="113">
        <f t="shared" ref="G29:M29" si="15">F29</f>
        <v>0</v>
      </c>
      <c r="H29" s="113">
        <f t="shared" si="15"/>
        <v>0</v>
      </c>
      <c r="I29" s="113">
        <f t="shared" si="15"/>
        <v>0</v>
      </c>
      <c r="J29" s="113">
        <f>I29*1.1</f>
        <v>0</v>
      </c>
      <c r="K29" s="113">
        <f t="shared" si="15"/>
        <v>0</v>
      </c>
      <c r="L29" s="113">
        <f t="shared" si="15"/>
        <v>0</v>
      </c>
      <c r="M29" s="830">
        <f t="shared" si="15"/>
        <v>0</v>
      </c>
      <c r="N29" s="150">
        <f t="shared" si="6"/>
        <v>0</v>
      </c>
      <c r="P29" s="547" t="s">
        <v>320</v>
      </c>
      <c r="V29" s="487"/>
      <c r="W29" s="1773">
        <v>0</v>
      </c>
      <c r="X29" s="1774"/>
    </row>
    <row r="30" spans="1:24" ht="15.75" thickBot="1">
      <c r="A30" s="831"/>
      <c r="B30" s="806"/>
      <c r="C30" s="1273"/>
      <c r="D30" s="145"/>
      <c r="E30" s="1558"/>
      <c r="F30" s="1559"/>
      <c r="G30" s="1559"/>
      <c r="H30" s="1559"/>
      <c r="I30" s="1559"/>
      <c r="J30" s="1559"/>
      <c r="K30" s="1559"/>
      <c r="L30" s="1559"/>
      <c r="M30" s="1560"/>
      <c r="N30" s="46"/>
      <c r="P30" s="27"/>
      <c r="V30" s="538"/>
      <c r="W30" s="541"/>
      <c r="X30" s="540"/>
    </row>
    <row r="31" spans="1:24" ht="15.75" thickBot="1">
      <c r="A31" s="29" t="s">
        <v>172</v>
      </c>
      <c r="B31" s="131" t="s">
        <v>126</v>
      </c>
      <c r="C31" s="1266">
        <f>SUM(C13+C15+C27+C29)</f>
        <v>51890829.75</v>
      </c>
      <c r="D31" s="100">
        <f>D13+D15+D27+D29</f>
        <v>0</v>
      </c>
      <c r="E31" s="113">
        <f>E13+E15+E27+E29</f>
        <v>0</v>
      </c>
      <c r="F31" s="279">
        <f t="shared" ref="F31:M31" si="16">F13+F15+F27+F29</f>
        <v>0</v>
      </c>
      <c r="G31" s="279">
        <f t="shared" si="16"/>
        <v>0</v>
      </c>
      <c r="H31" s="279">
        <f t="shared" si="16"/>
        <v>0</v>
      </c>
      <c r="I31" s="279">
        <f t="shared" si="16"/>
        <v>0</v>
      </c>
      <c r="J31" s="279">
        <f t="shared" si="16"/>
        <v>0</v>
      </c>
      <c r="K31" s="279">
        <f t="shared" si="16"/>
        <v>0</v>
      </c>
      <c r="L31" s="279">
        <f t="shared" si="16"/>
        <v>0</v>
      </c>
      <c r="M31" s="833">
        <f t="shared" si="16"/>
        <v>0</v>
      </c>
      <c r="N31" s="150">
        <f t="shared" si="6"/>
        <v>0</v>
      </c>
      <c r="P31" s="27"/>
      <c r="V31" s="538"/>
      <c r="W31" s="541"/>
      <c r="X31" s="540"/>
    </row>
    <row r="32" spans="1:24" ht="15.75" thickBot="1">
      <c r="A32" s="31"/>
      <c r="B32" s="801"/>
      <c r="C32" s="1271"/>
      <c r="D32" s="114"/>
      <c r="E32" s="46"/>
      <c r="F32" s="46"/>
      <c r="G32" s="46"/>
      <c r="H32" s="46"/>
      <c r="I32" s="46"/>
      <c r="J32" s="46"/>
      <c r="K32" s="46"/>
      <c r="L32" s="46"/>
      <c r="M32" s="834"/>
      <c r="N32" s="46"/>
      <c r="P32" s="27"/>
      <c r="V32" s="487"/>
      <c r="W32" s="541"/>
      <c r="X32" s="540"/>
    </row>
    <row r="33" spans="1:24" ht="15.75" customHeight="1" thickBot="1">
      <c r="A33" s="835" t="s">
        <v>93</v>
      </c>
      <c r="B33" s="131" t="s">
        <v>1</v>
      </c>
      <c r="C33" s="1266">
        <f>C93</f>
        <v>112500</v>
      </c>
      <c r="D33" s="115">
        <f>'Investiční náklady_vznik'!D14</f>
        <v>0</v>
      </c>
      <c r="E33" s="117">
        <v>0</v>
      </c>
      <c r="F33" s="117">
        <f>E33</f>
        <v>0</v>
      </c>
      <c r="G33" s="117">
        <f t="shared" ref="G33:M33" si="17">F33</f>
        <v>0</v>
      </c>
      <c r="H33" s="117">
        <f t="shared" si="17"/>
        <v>0</v>
      </c>
      <c r="I33" s="117">
        <f t="shared" si="17"/>
        <v>0</v>
      </c>
      <c r="J33" s="117">
        <f t="shared" si="17"/>
        <v>0</v>
      </c>
      <c r="K33" s="117">
        <f t="shared" si="17"/>
        <v>0</v>
      </c>
      <c r="L33" s="117">
        <f t="shared" si="17"/>
        <v>0</v>
      </c>
      <c r="M33" s="836">
        <f t="shared" si="17"/>
        <v>0</v>
      </c>
      <c r="N33" s="150">
        <f t="shared" si="6"/>
        <v>0</v>
      </c>
      <c r="P33" s="1865" t="s">
        <v>225</v>
      </c>
      <c r="Q33" s="1866"/>
      <c r="R33" s="1866"/>
      <c r="S33" s="1866"/>
      <c r="T33" s="1866"/>
      <c r="U33" s="1866"/>
      <c r="V33" s="1867"/>
      <c r="W33" s="1773">
        <v>0</v>
      </c>
      <c r="X33" s="1774"/>
    </row>
    <row r="34" spans="1:24" ht="15.75" thickBot="1">
      <c r="A34" s="837"/>
      <c r="B34" s="803"/>
      <c r="C34" s="1272"/>
      <c r="D34" s="44"/>
      <c r="E34" s="466"/>
      <c r="F34" s="467"/>
      <c r="G34" s="467"/>
      <c r="H34" s="467"/>
      <c r="I34" s="467"/>
      <c r="J34" s="467"/>
      <c r="K34" s="467"/>
      <c r="L34" s="467"/>
      <c r="M34" s="855"/>
      <c r="N34" s="46"/>
      <c r="P34" s="27"/>
      <c r="V34" s="487"/>
      <c r="W34" s="541"/>
      <c r="X34" s="540"/>
    </row>
    <row r="35" spans="1:24" ht="31.5" customHeight="1" thickBot="1">
      <c r="A35" s="1394" t="s">
        <v>125</v>
      </c>
      <c r="B35" s="131" t="s">
        <v>1</v>
      </c>
      <c r="C35" s="1266">
        <f>C95</f>
        <v>540439.54</v>
      </c>
      <c r="D35" s="115">
        <f>E35/12*2</f>
        <v>0</v>
      </c>
      <c r="E35" s="117">
        <f>W35</f>
        <v>0</v>
      </c>
      <c r="F35" s="117">
        <f>E35</f>
        <v>0</v>
      </c>
      <c r="G35" s="117">
        <f t="shared" ref="G35:M35" si="18">F35</f>
        <v>0</v>
      </c>
      <c r="H35" s="117">
        <f t="shared" si="18"/>
        <v>0</v>
      </c>
      <c r="I35" s="117">
        <f t="shared" si="18"/>
        <v>0</v>
      </c>
      <c r="J35" s="117">
        <f t="shared" si="18"/>
        <v>0</v>
      </c>
      <c r="K35" s="117">
        <f t="shared" si="18"/>
        <v>0</v>
      </c>
      <c r="L35" s="117">
        <f t="shared" si="18"/>
        <v>0</v>
      </c>
      <c r="M35" s="836">
        <f t="shared" si="18"/>
        <v>0</v>
      </c>
      <c r="N35" s="150">
        <f t="shared" si="6"/>
        <v>0</v>
      </c>
      <c r="P35" s="1868" t="s">
        <v>226</v>
      </c>
      <c r="Q35" s="1869"/>
      <c r="R35" s="1869"/>
      <c r="S35" s="1869"/>
      <c r="T35" s="1869"/>
      <c r="U35" s="1869"/>
      <c r="V35" s="1870"/>
      <c r="W35" s="1773">
        <v>0</v>
      </c>
      <c r="X35" s="1774"/>
    </row>
    <row r="36" spans="1:24" ht="15.75" thickBot="1">
      <c r="A36" s="838"/>
      <c r="B36" s="801"/>
      <c r="C36" s="1271"/>
      <c r="D36" s="127"/>
      <c r="E36" s="466"/>
      <c r="F36" s="467"/>
      <c r="G36" s="467"/>
      <c r="H36" s="467"/>
      <c r="I36" s="467"/>
      <c r="J36" s="467"/>
      <c r="K36" s="467"/>
      <c r="L36" s="467"/>
      <c r="M36" s="855"/>
      <c r="N36" s="46"/>
      <c r="P36" s="27"/>
      <c r="V36" s="538"/>
      <c r="W36" s="541"/>
      <c r="X36" s="540"/>
    </row>
    <row r="37" spans="1:24" s="83" customFormat="1" ht="20.25" customHeight="1" thickBot="1">
      <c r="A37" s="839" t="s">
        <v>299</v>
      </c>
      <c r="B37" s="135" t="s">
        <v>1</v>
      </c>
      <c r="C37" s="1274">
        <f>C97</f>
        <v>303955.88</v>
      </c>
      <c r="D37" s="115">
        <f>E37/12*2</f>
        <v>0</v>
      </c>
      <c r="E37" s="117">
        <f>W37</f>
        <v>0</v>
      </c>
      <c r="F37" s="117">
        <f>E37</f>
        <v>0</v>
      </c>
      <c r="G37" s="117">
        <f t="shared" ref="G37:M37" si="19">F37</f>
        <v>0</v>
      </c>
      <c r="H37" s="117">
        <f t="shared" si="19"/>
        <v>0</v>
      </c>
      <c r="I37" s="117">
        <f t="shared" si="19"/>
        <v>0</v>
      </c>
      <c r="J37" s="117">
        <f t="shared" si="19"/>
        <v>0</v>
      </c>
      <c r="K37" s="117">
        <f t="shared" si="19"/>
        <v>0</v>
      </c>
      <c r="L37" s="117">
        <f t="shared" si="19"/>
        <v>0</v>
      </c>
      <c r="M37" s="836">
        <f t="shared" si="19"/>
        <v>0</v>
      </c>
      <c r="N37" s="150">
        <f t="shared" si="6"/>
        <v>0</v>
      </c>
      <c r="P37" s="1857" t="s">
        <v>321</v>
      </c>
      <c r="Q37" s="1858"/>
      <c r="R37" s="1858"/>
      <c r="S37" s="1858"/>
      <c r="T37" s="1858"/>
      <c r="U37" s="1858"/>
      <c r="V37" s="1859"/>
      <c r="W37" s="1773">
        <v>0</v>
      </c>
      <c r="X37" s="1774"/>
    </row>
    <row r="38" spans="1:24" ht="15.75" thickBot="1">
      <c r="A38" s="31"/>
      <c r="B38" s="807"/>
      <c r="C38" s="1275"/>
      <c r="D38" s="118"/>
      <c r="E38" s="119"/>
      <c r="F38" s="119"/>
      <c r="G38" s="119"/>
      <c r="H38" s="119"/>
      <c r="I38" s="119"/>
      <c r="J38" s="119"/>
      <c r="K38" s="119"/>
      <c r="L38" s="119"/>
      <c r="M38" s="840"/>
      <c r="N38" s="46"/>
      <c r="P38" s="27"/>
      <c r="V38" s="487"/>
      <c r="W38" s="541"/>
      <c r="X38" s="540"/>
    </row>
    <row r="39" spans="1:24" ht="15.75" thickBot="1">
      <c r="A39" s="29" t="s">
        <v>3</v>
      </c>
      <c r="B39" s="131" t="s">
        <v>1</v>
      </c>
      <c r="C39" s="1266">
        <f>C99</f>
        <v>0</v>
      </c>
      <c r="D39" s="100">
        <f>E39/12*2</f>
        <v>0</v>
      </c>
      <c r="E39" s="94">
        <f>W39</f>
        <v>0</v>
      </c>
      <c r="F39" s="94">
        <f>E39</f>
        <v>0</v>
      </c>
      <c r="G39" s="94">
        <f t="shared" ref="G39:M39" si="20">F39</f>
        <v>0</v>
      </c>
      <c r="H39" s="94">
        <f t="shared" si="20"/>
        <v>0</v>
      </c>
      <c r="I39" s="94">
        <f t="shared" si="20"/>
        <v>0</v>
      </c>
      <c r="J39" s="94">
        <f t="shared" si="20"/>
        <v>0</v>
      </c>
      <c r="K39" s="94">
        <f t="shared" si="20"/>
        <v>0</v>
      </c>
      <c r="L39" s="94">
        <f t="shared" si="20"/>
        <v>0</v>
      </c>
      <c r="M39" s="829">
        <f t="shared" si="20"/>
        <v>0</v>
      </c>
      <c r="N39" s="150">
        <f t="shared" si="6"/>
        <v>0</v>
      </c>
      <c r="P39" s="547" t="s">
        <v>227</v>
      </c>
      <c r="V39" s="487"/>
      <c r="W39" s="1773">
        <v>0</v>
      </c>
      <c r="X39" s="1774"/>
    </row>
    <row r="40" spans="1:24" ht="15.75" thickBot="1">
      <c r="A40" s="831"/>
      <c r="B40" s="806"/>
      <c r="C40" s="1273"/>
      <c r="D40" s="145"/>
      <c r="E40" s="146"/>
      <c r="F40" s="146"/>
      <c r="G40" s="146"/>
      <c r="H40" s="146"/>
      <c r="I40" s="146"/>
      <c r="J40" s="146"/>
      <c r="K40" s="146"/>
      <c r="L40" s="146"/>
      <c r="M40" s="841"/>
      <c r="N40" s="46"/>
      <c r="P40" s="27"/>
      <c r="V40" s="538"/>
      <c r="W40" s="541"/>
      <c r="X40" s="540"/>
    </row>
    <row r="41" spans="1:24" ht="15.75" thickBot="1">
      <c r="A41" s="29" t="s">
        <v>302</v>
      </c>
      <c r="B41" s="131" t="s">
        <v>126</v>
      </c>
      <c r="C41" s="1266">
        <f>C33+C35</f>
        <v>652939.54</v>
      </c>
      <c r="D41" s="100">
        <f>D33+D35+D39</f>
        <v>0</v>
      </c>
      <c r="E41" s="94">
        <f>E33+E35+E39</f>
        <v>0</v>
      </c>
      <c r="F41" s="94">
        <f t="shared" ref="F41:M41" si="21">F33+F35+F39</f>
        <v>0</v>
      </c>
      <c r="G41" s="94">
        <f t="shared" si="21"/>
        <v>0</v>
      </c>
      <c r="H41" s="94">
        <f t="shared" si="21"/>
        <v>0</v>
      </c>
      <c r="I41" s="94">
        <f t="shared" si="21"/>
        <v>0</v>
      </c>
      <c r="J41" s="94">
        <f t="shared" si="21"/>
        <v>0</v>
      </c>
      <c r="K41" s="94">
        <f t="shared" si="21"/>
        <v>0</v>
      </c>
      <c r="L41" s="94">
        <f t="shared" si="21"/>
        <v>0</v>
      </c>
      <c r="M41" s="829">
        <f t="shared" si="21"/>
        <v>0</v>
      </c>
      <c r="N41" s="150">
        <f t="shared" si="6"/>
        <v>0</v>
      </c>
      <c r="P41" s="27"/>
      <c r="V41" s="538"/>
      <c r="W41" s="541"/>
      <c r="X41" s="540"/>
    </row>
    <row r="42" spans="1:24" ht="15.75" thickBot="1">
      <c r="A42" s="27"/>
      <c r="B42" s="808"/>
      <c r="C42" s="1271"/>
      <c r="D42" s="114"/>
      <c r="E42" s="1552"/>
      <c r="F42" s="1553"/>
      <c r="G42" s="1553"/>
      <c r="H42" s="1553"/>
      <c r="I42" s="1553"/>
      <c r="J42" s="1553"/>
      <c r="K42" s="1553"/>
      <c r="L42" s="1553"/>
      <c r="M42" s="1554"/>
      <c r="N42" s="46"/>
      <c r="P42" s="27"/>
      <c r="V42" s="487"/>
      <c r="W42" s="541"/>
      <c r="X42" s="540"/>
    </row>
    <row r="43" spans="1:24" ht="15.75" thickBot="1">
      <c r="A43" s="29" t="s">
        <v>314</v>
      </c>
      <c r="B43" s="131" t="s">
        <v>1</v>
      </c>
      <c r="C43" s="1266">
        <f>C45</f>
        <v>7760000</v>
      </c>
      <c r="D43" s="132">
        <v>0</v>
      </c>
      <c r="E43" s="133">
        <v>0</v>
      </c>
      <c r="F43" s="134">
        <v>0</v>
      </c>
      <c r="G43" s="134">
        <v>0</v>
      </c>
      <c r="H43" s="134">
        <v>0</v>
      </c>
      <c r="I43" s="134">
        <v>0</v>
      </c>
      <c r="J43" s="134">
        <v>0</v>
      </c>
      <c r="K43" s="134">
        <v>0</v>
      </c>
      <c r="L43" s="134">
        <v>0</v>
      </c>
      <c r="M43" s="842">
        <v>0</v>
      </c>
      <c r="N43" s="150">
        <f t="shared" si="6"/>
        <v>0</v>
      </c>
      <c r="P43" s="27"/>
      <c r="V43" s="487"/>
      <c r="W43" s="541"/>
      <c r="X43" s="540"/>
    </row>
    <row r="44" spans="1:24" ht="15.75" thickBot="1">
      <c r="A44" s="27"/>
      <c r="B44" s="808"/>
      <c r="C44" s="1271"/>
      <c r="D44" s="114"/>
      <c r="E44" s="1552"/>
      <c r="F44" s="1553"/>
      <c r="G44" s="1553"/>
      <c r="H44" s="1553"/>
      <c r="I44" s="1553"/>
      <c r="J44" s="1553"/>
      <c r="K44" s="1553"/>
      <c r="L44" s="1553"/>
      <c r="M44" s="1554"/>
      <c r="N44" s="150">
        <f t="shared" si="6"/>
        <v>0</v>
      </c>
      <c r="P44" s="27"/>
      <c r="V44" s="487"/>
      <c r="W44" s="541"/>
      <c r="X44" s="540"/>
    </row>
    <row r="45" spans="1:24" ht="15.75" thickBot="1">
      <c r="A45" s="29" t="s">
        <v>315</v>
      </c>
      <c r="B45" s="131" t="s">
        <v>1</v>
      </c>
      <c r="C45" s="1266">
        <f>C47+C49</f>
        <v>7760000</v>
      </c>
      <c r="D45" s="132">
        <f t="shared" ref="D45:M45" si="22">SUM(D47+D49)</f>
        <v>0</v>
      </c>
      <c r="E45" s="133">
        <f t="shared" si="22"/>
        <v>0</v>
      </c>
      <c r="F45" s="133">
        <f t="shared" si="22"/>
        <v>0</v>
      </c>
      <c r="G45" s="133">
        <f t="shared" si="22"/>
        <v>0</v>
      </c>
      <c r="H45" s="133">
        <f t="shared" si="22"/>
        <v>0</v>
      </c>
      <c r="I45" s="133">
        <f t="shared" si="22"/>
        <v>0</v>
      </c>
      <c r="J45" s="133">
        <f t="shared" si="22"/>
        <v>0</v>
      </c>
      <c r="K45" s="133">
        <f t="shared" si="22"/>
        <v>0</v>
      </c>
      <c r="L45" s="133">
        <f t="shared" si="22"/>
        <v>0</v>
      </c>
      <c r="M45" s="843">
        <f t="shared" si="22"/>
        <v>0</v>
      </c>
      <c r="N45" s="150">
        <f t="shared" si="6"/>
        <v>0</v>
      </c>
      <c r="P45" s="27"/>
      <c r="V45" s="487"/>
      <c r="W45" s="541"/>
      <c r="X45" s="540"/>
    </row>
    <row r="46" spans="1:24" ht="15.75" thickBot="1">
      <c r="A46" s="27"/>
      <c r="B46" s="808"/>
      <c r="C46" s="1271"/>
      <c r="D46" s="114"/>
      <c r="E46" s="1552"/>
      <c r="F46" s="1553"/>
      <c r="G46" s="1553"/>
      <c r="H46" s="1553"/>
      <c r="I46" s="1553"/>
      <c r="J46" s="1553"/>
      <c r="K46" s="1553"/>
      <c r="L46" s="1553"/>
      <c r="M46" s="1554"/>
      <c r="N46" s="46"/>
      <c r="P46" s="548"/>
      <c r="V46" s="487"/>
      <c r="W46" s="541"/>
      <c r="X46" s="540"/>
    </row>
    <row r="47" spans="1:24" ht="15.75" customHeight="1" thickBot="1">
      <c r="A47" s="844" t="s">
        <v>203</v>
      </c>
      <c r="B47" s="809" t="s">
        <v>1</v>
      </c>
      <c r="C47" s="1266">
        <f>C107</f>
        <v>7568000</v>
      </c>
      <c r="D47" s="100">
        <f>W47</f>
        <v>0</v>
      </c>
      <c r="E47" s="93">
        <f>W47</f>
        <v>0</v>
      </c>
      <c r="F47" s="93">
        <f>E47</f>
        <v>0</v>
      </c>
      <c r="G47" s="93">
        <f t="shared" ref="G47:M47" si="23">F47</f>
        <v>0</v>
      </c>
      <c r="H47" s="93">
        <f t="shared" si="23"/>
        <v>0</v>
      </c>
      <c r="I47" s="93">
        <f t="shared" si="23"/>
        <v>0</v>
      </c>
      <c r="J47" s="93">
        <f t="shared" si="23"/>
        <v>0</v>
      </c>
      <c r="K47" s="93">
        <f t="shared" si="23"/>
        <v>0</v>
      </c>
      <c r="L47" s="93">
        <f t="shared" si="23"/>
        <v>0</v>
      </c>
      <c r="M47" s="817">
        <f t="shared" si="23"/>
        <v>0</v>
      </c>
      <c r="N47" s="150">
        <f t="shared" si="6"/>
        <v>0</v>
      </c>
      <c r="P47" s="1784" t="s">
        <v>228</v>
      </c>
      <c r="Q47" s="1785"/>
      <c r="R47" s="1785"/>
      <c r="S47" s="1785"/>
      <c r="T47" s="1785"/>
      <c r="U47" s="1785"/>
      <c r="V47" s="1786"/>
      <c r="W47" s="1773">
        <v>0</v>
      </c>
      <c r="X47" s="1774"/>
    </row>
    <row r="48" spans="1:24" ht="15.75" thickBot="1">
      <c r="A48" s="27"/>
      <c r="B48" s="808"/>
      <c r="C48" s="1271"/>
      <c r="D48" s="114"/>
      <c r="E48" s="1552"/>
      <c r="F48" s="1553"/>
      <c r="G48" s="1553"/>
      <c r="H48" s="1553"/>
      <c r="I48" s="1553"/>
      <c r="J48" s="1553"/>
      <c r="K48" s="1553"/>
      <c r="L48" s="1553"/>
      <c r="M48" s="1554"/>
      <c r="N48" s="46"/>
      <c r="P48" s="547"/>
      <c r="Q48" s="83"/>
      <c r="R48" s="83"/>
      <c r="S48" s="83"/>
      <c r="T48" s="83"/>
      <c r="U48" s="83"/>
      <c r="V48" s="549"/>
      <c r="W48" s="542"/>
      <c r="X48" s="540"/>
    </row>
    <row r="49" spans="1:24" ht="15.75" customHeight="1" thickBot="1">
      <c r="A49" s="1563" t="s">
        <v>702</v>
      </c>
      <c r="B49" s="809" t="s">
        <v>1</v>
      </c>
      <c r="C49" s="1266">
        <f>C109</f>
        <v>192000</v>
      </c>
      <c r="D49" s="104">
        <f>W49</f>
        <v>0</v>
      </c>
      <c r="E49" s="117">
        <f>W49</f>
        <v>0</v>
      </c>
      <c r="F49" s="113">
        <f>E49</f>
        <v>0</v>
      </c>
      <c r="G49" s="113">
        <f t="shared" ref="G49:M49" si="24">F49</f>
        <v>0</v>
      </c>
      <c r="H49" s="113">
        <f t="shared" si="24"/>
        <v>0</v>
      </c>
      <c r="I49" s="113">
        <f t="shared" si="24"/>
        <v>0</v>
      </c>
      <c r="J49" s="113">
        <f t="shared" si="24"/>
        <v>0</v>
      </c>
      <c r="K49" s="113">
        <f t="shared" si="24"/>
        <v>0</v>
      </c>
      <c r="L49" s="113">
        <f t="shared" si="24"/>
        <v>0</v>
      </c>
      <c r="M49" s="830">
        <f t="shared" si="24"/>
        <v>0</v>
      </c>
      <c r="N49" s="150">
        <f t="shared" si="6"/>
        <v>0</v>
      </c>
      <c r="P49" s="1784" t="s">
        <v>228</v>
      </c>
      <c r="Q49" s="1785"/>
      <c r="R49" s="1785"/>
      <c r="S49" s="1785"/>
      <c r="T49" s="1785"/>
      <c r="U49" s="1785"/>
      <c r="V49" s="1786"/>
      <c r="W49" s="1773">
        <v>0</v>
      </c>
      <c r="X49" s="1774"/>
    </row>
    <row r="50" spans="1:24" ht="15.75" thickBot="1">
      <c r="A50" s="27"/>
      <c r="B50" s="810"/>
      <c r="C50" s="1538"/>
      <c r="D50" s="282"/>
      <c r="E50" s="281"/>
      <c r="F50" s="147"/>
      <c r="G50" s="147"/>
      <c r="H50" s="147"/>
      <c r="I50" s="147"/>
      <c r="J50" s="147"/>
      <c r="K50" s="147"/>
      <c r="L50" s="147"/>
      <c r="M50" s="845"/>
      <c r="N50" s="46"/>
      <c r="P50" s="27"/>
      <c r="V50" s="538"/>
      <c r="W50" s="541"/>
      <c r="X50" s="540"/>
    </row>
    <row r="51" spans="1:24" ht="15.75" thickBot="1">
      <c r="A51" s="1280" t="s">
        <v>440</v>
      </c>
      <c r="B51" s="131" t="s">
        <v>1</v>
      </c>
      <c r="C51" s="1266">
        <f>C9+C13+C15+C27+C29+C33+C35+C37+C39+C45</f>
        <v>90296764.312399998</v>
      </c>
      <c r="D51" s="100">
        <f t="shared" ref="D51:M51" si="25">SUM(D9+D13+D15+D27+D29+D33+D35+D37+D39+D43)</f>
        <v>0</v>
      </c>
      <c r="E51" s="93">
        <f t="shared" si="25"/>
        <v>0</v>
      </c>
      <c r="F51" s="94">
        <f t="shared" si="25"/>
        <v>0</v>
      </c>
      <c r="G51" s="94">
        <f t="shared" si="25"/>
        <v>0</v>
      </c>
      <c r="H51" s="94">
        <f t="shared" si="25"/>
        <v>0</v>
      </c>
      <c r="I51" s="94">
        <f t="shared" si="25"/>
        <v>0</v>
      </c>
      <c r="J51" s="94">
        <f t="shared" si="25"/>
        <v>0</v>
      </c>
      <c r="K51" s="94">
        <f t="shared" si="25"/>
        <v>0</v>
      </c>
      <c r="L51" s="94">
        <f t="shared" si="25"/>
        <v>0</v>
      </c>
      <c r="M51" s="829">
        <f t="shared" si="25"/>
        <v>0</v>
      </c>
      <c r="N51" s="150">
        <f t="shared" si="6"/>
        <v>0</v>
      </c>
      <c r="P51" s="539"/>
      <c r="Q51" s="550"/>
      <c r="R51" s="550"/>
      <c r="S51" s="550"/>
      <c r="T51" s="550"/>
      <c r="U51" s="550"/>
      <c r="V51" s="551"/>
      <c r="W51" s="558"/>
      <c r="X51" s="559"/>
    </row>
    <row r="52" spans="1:24" ht="15.75" thickBot="1">
      <c r="A52" s="27"/>
      <c r="D52" s="3"/>
      <c r="E52" s="3"/>
      <c r="F52" s="3"/>
      <c r="G52" s="3"/>
      <c r="H52" s="3"/>
      <c r="I52" s="3"/>
      <c r="J52" s="3"/>
      <c r="K52" s="3"/>
      <c r="L52" s="3"/>
      <c r="M52" s="538"/>
      <c r="N52" s="150"/>
    </row>
    <row r="53" spans="1:24" ht="15" customHeight="1" thickBot="1">
      <c r="A53" s="1541" t="s">
        <v>340</v>
      </c>
      <c r="B53" s="758" t="s">
        <v>1</v>
      </c>
      <c r="C53" s="1266">
        <f>C51-C45</f>
        <v>82536764.312399998</v>
      </c>
      <c r="D53" s="759">
        <f>D51-D45</f>
        <v>0</v>
      </c>
      <c r="E53" s="759">
        <f t="shared" ref="E53:M53" si="26">E51-E45</f>
        <v>0</v>
      </c>
      <c r="F53" s="759">
        <f t="shared" si="26"/>
        <v>0</v>
      </c>
      <c r="G53" s="759">
        <f t="shared" si="26"/>
        <v>0</v>
      </c>
      <c r="H53" s="759">
        <f t="shared" si="26"/>
        <v>0</v>
      </c>
      <c r="I53" s="759">
        <f t="shared" si="26"/>
        <v>0</v>
      </c>
      <c r="J53" s="759">
        <f t="shared" si="26"/>
        <v>0</v>
      </c>
      <c r="K53" s="759">
        <f t="shared" si="26"/>
        <v>0</v>
      </c>
      <c r="L53" s="759">
        <f t="shared" si="26"/>
        <v>0</v>
      </c>
      <c r="M53" s="1294">
        <f t="shared" si="26"/>
        <v>0</v>
      </c>
      <c r="N53" s="150">
        <f>SUM(D53:M53)</f>
        <v>0</v>
      </c>
      <c r="P53" s="543" t="s">
        <v>168</v>
      </c>
      <c r="Q53" s="544"/>
      <c r="R53" s="544"/>
      <c r="S53" s="544"/>
      <c r="T53" s="544"/>
      <c r="U53" s="544"/>
      <c r="V53" s="545"/>
      <c r="W53" s="430">
        <f>M55/M115</f>
        <v>0</v>
      </c>
      <c r="X53" s="488">
        <f>W53</f>
        <v>0</v>
      </c>
    </row>
    <row r="54" spans="1:24" ht="15.75" thickBot="1">
      <c r="A54" s="27"/>
      <c r="D54" s="3"/>
      <c r="E54" s="3"/>
      <c r="F54" s="3"/>
      <c r="G54" s="3"/>
      <c r="H54" s="3"/>
      <c r="I54" s="3"/>
      <c r="J54" s="3"/>
      <c r="K54" s="3"/>
      <c r="L54" s="3"/>
      <c r="M54" s="538"/>
    </row>
    <row r="55" spans="1:24" ht="15.75" thickBot="1">
      <c r="A55" s="27"/>
      <c r="B55" s="1805" t="s">
        <v>341</v>
      </c>
      <c r="C55" s="1806"/>
      <c r="D55" s="1806"/>
      <c r="E55" s="1806"/>
      <c r="F55" s="1806"/>
      <c r="G55" s="1806"/>
      <c r="H55" s="1807"/>
      <c r="I55" s="1545">
        <f>N55-O45</f>
        <v>0</v>
      </c>
      <c r="J55" s="3"/>
      <c r="K55" s="1782" t="s">
        <v>171</v>
      </c>
      <c r="L55" s="1783"/>
      <c r="M55" s="1544">
        <f>SUM(D53:M53)</f>
        <v>0</v>
      </c>
    </row>
    <row r="56" spans="1:24" ht="15.75" thickBot="1">
      <c r="A56" s="27"/>
      <c r="D56" s="3"/>
      <c r="E56" s="3"/>
      <c r="F56" s="3"/>
      <c r="G56" s="3"/>
      <c r="H56" s="3"/>
      <c r="I56" s="3"/>
      <c r="J56" s="3"/>
      <c r="K56" s="3"/>
      <c r="L56" s="3"/>
      <c r="M56" s="538"/>
    </row>
    <row r="57" spans="1:24" ht="15.75" thickBot="1">
      <c r="A57" s="1647" t="s">
        <v>127</v>
      </c>
      <c r="B57" s="1648" t="s">
        <v>130</v>
      </c>
      <c r="C57" s="1255">
        <v>2023</v>
      </c>
      <c r="D57" s="28">
        <v>2025</v>
      </c>
      <c r="E57" s="32">
        <v>2026</v>
      </c>
      <c r="F57" s="32">
        <v>2027</v>
      </c>
      <c r="G57" s="32">
        <v>2028</v>
      </c>
      <c r="H57" s="32">
        <v>2029</v>
      </c>
      <c r="I57" s="32">
        <v>2030</v>
      </c>
      <c r="J57" s="32">
        <v>2031</v>
      </c>
      <c r="K57" s="32">
        <v>2032</v>
      </c>
      <c r="L57" s="32">
        <v>2033</v>
      </c>
      <c r="M57" s="88">
        <v>2034</v>
      </c>
      <c r="N57" s="428" t="s">
        <v>41</v>
      </c>
      <c r="O57" s="428" t="s">
        <v>41</v>
      </c>
    </row>
    <row r="58" spans="1:24">
      <c r="A58" s="27" t="s">
        <v>128</v>
      </c>
      <c r="B58" s="283" t="s">
        <v>1</v>
      </c>
      <c r="C58" s="1256"/>
      <c r="D58" s="284">
        <f>D11*D10</f>
        <v>0</v>
      </c>
      <c r="E58" s="285">
        <f>E11*E10</f>
        <v>0</v>
      </c>
      <c r="F58" s="285">
        <f t="shared" ref="F58:M58" si="27">F11*F10</f>
        <v>0</v>
      </c>
      <c r="G58" s="285">
        <f t="shared" si="27"/>
        <v>0</v>
      </c>
      <c r="H58" s="285">
        <f t="shared" si="27"/>
        <v>0</v>
      </c>
      <c r="I58" s="285">
        <f t="shared" si="27"/>
        <v>0</v>
      </c>
      <c r="J58" s="285">
        <f t="shared" si="27"/>
        <v>0</v>
      </c>
      <c r="K58" s="285">
        <f t="shared" si="27"/>
        <v>0</v>
      </c>
      <c r="L58" s="285">
        <f t="shared" si="27"/>
        <v>0</v>
      </c>
      <c r="M58" s="1640">
        <f t="shared" si="27"/>
        <v>0</v>
      </c>
      <c r="N58" s="436">
        <f>SUM(D58:M58)</f>
        <v>0</v>
      </c>
    </row>
    <row r="59" spans="1:24">
      <c r="A59" s="27" t="s">
        <v>129</v>
      </c>
      <c r="B59" s="283" t="s">
        <v>1</v>
      </c>
      <c r="C59" s="1256"/>
      <c r="D59" s="284">
        <f t="shared" ref="D59:M59" si="28">D12*D10</f>
        <v>0</v>
      </c>
      <c r="E59" s="285">
        <f t="shared" si="28"/>
        <v>0</v>
      </c>
      <c r="F59" s="285">
        <f t="shared" si="28"/>
        <v>0</v>
      </c>
      <c r="G59" s="285">
        <f t="shared" si="28"/>
        <v>0</v>
      </c>
      <c r="H59" s="285">
        <f t="shared" si="28"/>
        <v>0</v>
      </c>
      <c r="I59" s="285">
        <f t="shared" si="28"/>
        <v>0</v>
      </c>
      <c r="J59" s="285">
        <f t="shared" si="28"/>
        <v>0</v>
      </c>
      <c r="K59" s="285">
        <f t="shared" si="28"/>
        <v>0</v>
      </c>
      <c r="L59" s="285">
        <f t="shared" si="28"/>
        <v>0</v>
      </c>
      <c r="M59" s="1640">
        <f t="shared" si="28"/>
        <v>0</v>
      </c>
      <c r="N59" s="436">
        <f>SUM(D59:M59)</f>
        <v>0</v>
      </c>
      <c r="O59" s="149">
        <f>N58+N59</f>
        <v>0</v>
      </c>
    </row>
    <row r="60" spans="1:24" ht="30.75" thickBot="1">
      <c r="A60" s="1641" t="s">
        <v>322</v>
      </c>
      <c r="B60" s="1642" t="s">
        <v>1</v>
      </c>
      <c r="C60" s="1643"/>
      <c r="D60" s="1644">
        <f>D9+D31+D37+D41+D43</f>
        <v>0</v>
      </c>
      <c r="E60" s="1645">
        <f>E9+E31+E37+E41+E43</f>
        <v>0</v>
      </c>
      <c r="F60" s="1645">
        <f t="shared" ref="F60:M60" si="29">F9+F31+F37+F41+F43</f>
        <v>0</v>
      </c>
      <c r="G60" s="1645">
        <f t="shared" si="29"/>
        <v>0</v>
      </c>
      <c r="H60" s="1645">
        <f t="shared" si="29"/>
        <v>0</v>
      </c>
      <c r="I60" s="1645">
        <f t="shared" si="29"/>
        <v>0</v>
      </c>
      <c r="J60" s="1645">
        <f t="shared" si="29"/>
        <v>0</v>
      </c>
      <c r="K60" s="1645">
        <f t="shared" si="29"/>
        <v>0</v>
      </c>
      <c r="L60" s="1645">
        <f t="shared" si="29"/>
        <v>0</v>
      </c>
      <c r="M60" s="1646">
        <f t="shared" si="29"/>
        <v>0</v>
      </c>
      <c r="N60" s="429">
        <f>SUM(D60:M60)</f>
        <v>0</v>
      </c>
      <c r="O60" s="435" t="s">
        <v>117</v>
      </c>
    </row>
    <row r="61" spans="1:24" ht="15.75" thickBot="1">
      <c r="A61" s="277"/>
      <c r="D61" s="3"/>
      <c r="E61" s="3"/>
      <c r="F61" s="3"/>
      <c r="G61" s="3"/>
      <c r="H61" s="3"/>
      <c r="I61" s="3"/>
      <c r="J61" s="3"/>
      <c r="K61" s="3"/>
      <c r="L61" s="149"/>
      <c r="M61" s="150"/>
      <c r="P61" s="1855" t="s">
        <v>210</v>
      </c>
      <c r="Q61" s="1856"/>
      <c r="R61" s="1393"/>
      <c r="S61" s="537"/>
      <c r="T61" s="537"/>
      <c r="U61" s="1285"/>
    </row>
    <row r="62" spans="1:24" ht="15.75" thickBot="1"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24" ht="20.25" thickTop="1" thickBot="1">
      <c r="A63" s="1564" t="s">
        <v>625</v>
      </c>
      <c r="B63" s="811"/>
      <c r="C63" s="811"/>
      <c r="D63" s="526"/>
      <c r="E63" s="526"/>
      <c r="F63" s="526"/>
      <c r="G63" s="526"/>
      <c r="H63" s="526"/>
      <c r="I63" s="526"/>
      <c r="J63" s="526"/>
      <c r="K63" s="526"/>
      <c r="L63" s="526"/>
      <c r="M63" s="846"/>
      <c r="P63" s="1799" t="s">
        <v>573</v>
      </c>
      <c r="Q63" s="1800"/>
      <c r="R63" s="1800"/>
      <c r="S63" s="1800"/>
      <c r="T63" s="1800"/>
      <c r="U63" s="1800"/>
      <c r="V63" s="1801"/>
      <c r="W63" s="1800" t="s">
        <v>158</v>
      </c>
      <c r="X63" s="1825"/>
    </row>
    <row r="64" spans="1:24" ht="15.75" customHeight="1" thickBot="1">
      <c r="A64" s="27"/>
      <c r="D64" s="3"/>
      <c r="E64" s="3"/>
      <c r="F64" s="3"/>
      <c r="G64" s="3"/>
      <c r="H64" s="3"/>
      <c r="I64" s="3"/>
      <c r="J64" s="3"/>
      <c r="K64" s="3"/>
      <c r="L64" s="3"/>
      <c r="M64" s="538"/>
      <c r="P64" s="1802"/>
      <c r="Q64" s="1803"/>
      <c r="R64" s="1803"/>
      <c r="S64" s="1803"/>
      <c r="T64" s="1803"/>
      <c r="U64" s="1803"/>
      <c r="V64" s="1804"/>
      <c r="W64" s="1803"/>
      <c r="X64" s="1826"/>
    </row>
    <row r="65" spans="1:24" ht="16.5" thickTop="1" thickBot="1">
      <c r="A65" s="650" t="s">
        <v>62</v>
      </c>
      <c r="B65" s="799" t="s">
        <v>14</v>
      </c>
      <c r="C65" s="1255">
        <v>2023</v>
      </c>
      <c r="D65" s="28">
        <v>2025</v>
      </c>
      <c r="E65" s="32">
        <v>2026</v>
      </c>
      <c r="F65" s="32">
        <v>2027</v>
      </c>
      <c r="G65" s="32">
        <v>2028</v>
      </c>
      <c r="H65" s="32">
        <v>2029</v>
      </c>
      <c r="I65" s="32">
        <v>2030</v>
      </c>
      <c r="J65" s="32">
        <v>2031</v>
      </c>
      <c r="K65" s="32">
        <v>2032</v>
      </c>
      <c r="L65" s="32">
        <v>2033</v>
      </c>
      <c r="M65" s="32">
        <v>2034</v>
      </c>
      <c r="N65" s="1850" t="s">
        <v>162</v>
      </c>
      <c r="O65" s="1851"/>
      <c r="P65" s="1761" t="s">
        <v>554</v>
      </c>
      <c r="Q65" s="1762"/>
      <c r="R65" s="1762"/>
      <c r="S65" s="1762"/>
      <c r="T65" s="1762"/>
      <c r="U65" s="1762"/>
      <c r="V65" s="1763"/>
      <c r="W65" s="1546">
        <v>3</v>
      </c>
      <c r="X65" s="1616">
        <v>9</v>
      </c>
    </row>
    <row r="66" spans="1:24" ht="18.95" customHeight="1" thickBot="1">
      <c r="A66" s="1547"/>
      <c r="B66" s="800"/>
      <c r="C66" s="1540" t="s">
        <v>534</v>
      </c>
      <c r="D66" s="872" t="s">
        <v>429</v>
      </c>
      <c r="E66" s="873" t="s">
        <v>40</v>
      </c>
      <c r="F66" s="873" t="s">
        <v>40</v>
      </c>
      <c r="G66" s="873" t="s">
        <v>40</v>
      </c>
      <c r="H66" s="873" t="s">
        <v>40</v>
      </c>
      <c r="I66" s="873" t="s">
        <v>40</v>
      </c>
      <c r="J66" s="873" t="s">
        <v>40</v>
      </c>
      <c r="K66" s="873" t="s">
        <v>40</v>
      </c>
      <c r="L66" s="873" t="s">
        <v>40</v>
      </c>
      <c r="M66" s="874" t="s">
        <v>40</v>
      </c>
      <c r="P66" s="1617" t="s">
        <v>433</v>
      </c>
      <c r="Q66" s="1261"/>
      <c r="R66" s="1261"/>
      <c r="S66" s="1261"/>
      <c r="T66" s="1261"/>
      <c r="U66" s="1261"/>
      <c r="V66" s="1262"/>
      <c r="W66" s="1846" t="s">
        <v>434</v>
      </c>
      <c r="X66" s="1847"/>
    </row>
    <row r="67" spans="1:24" ht="16.5" thickBot="1">
      <c r="A67" s="857" t="s">
        <v>309</v>
      </c>
      <c r="B67" s="867" t="s">
        <v>2</v>
      </c>
      <c r="C67" s="1539" t="s">
        <v>622</v>
      </c>
      <c r="D67" s="1257" t="s">
        <v>430</v>
      </c>
      <c r="E67" s="1258">
        <v>12</v>
      </c>
      <c r="F67" s="1259">
        <v>12</v>
      </c>
      <c r="G67" s="1259">
        <v>12</v>
      </c>
      <c r="H67" s="1259">
        <v>12</v>
      </c>
      <c r="I67" s="1259">
        <v>12</v>
      </c>
      <c r="J67" s="1259">
        <v>12</v>
      </c>
      <c r="K67" s="1259">
        <v>12</v>
      </c>
      <c r="L67" s="1259">
        <v>12</v>
      </c>
      <c r="M67" s="1260">
        <v>12</v>
      </c>
      <c r="P67" s="1764" t="s">
        <v>555</v>
      </c>
      <c r="Q67" s="1765"/>
      <c r="R67" s="1765"/>
      <c r="S67" s="1765"/>
      <c r="T67" s="1765"/>
      <c r="U67" s="1765"/>
      <c r="V67" s="1766"/>
      <c r="W67" s="1848">
        <f>((3*20000)+(9*25000))/12</f>
        <v>23750</v>
      </c>
      <c r="X67" s="1849"/>
    </row>
    <row r="68" spans="1:24" ht="15.75" thickBot="1">
      <c r="A68" s="31"/>
      <c r="B68" s="801"/>
      <c r="C68" s="801"/>
      <c r="D68" s="23"/>
      <c r="E68" s="12"/>
      <c r="F68" s="9"/>
      <c r="G68" s="9"/>
      <c r="H68" s="9"/>
      <c r="I68" s="9"/>
      <c r="J68" s="9"/>
      <c r="K68" s="9"/>
      <c r="L68" s="9"/>
      <c r="M68" s="19"/>
      <c r="P68" s="1767" t="s">
        <v>556</v>
      </c>
      <c r="Q68" s="1768"/>
      <c r="R68" s="1768"/>
      <c r="S68" s="1768"/>
      <c r="T68" s="1768"/>
      <c r="U68" s="1768"/>
      <c r="V68" s="1769"/>
      <c r="W68" s="1829">
        <f>((4*23000)+(5*25000))/9</f>
        <v>24111.111111111109</v>
      </c>
      <c r="X68" s="1830"/>
    </row>
    <row r="69" spans="1:24" ht="15.75" thickBot="1">
      <c r="A69" s="29" t="s">
        <v>131</v>
      </c>
      <c r="B69" s="131" t="s">
        <v>1</v>
      </c>
      <c r="C69" s="1266">
        <f>SUM(C71:C72)*C70</f>
        <v>29689039.142400004</v>
      </c>
      <c r="D69" s="92">
        <f>SUM(D71:D72)*D70</f>
        <v>386255</v>
      </c>
      <c r="E69" s="93">
        <f t="shared" ref="E69:I69" si="30">SUM(E71:E72)*E70</f>
        <v>4635060</v>
      </c>
      <c r="F69" s="93">
        <f t="shared" si="30"/>
        <v>4774111.8000000007</v>
      </c>
      <c r="G69" s="93">
        <f t="shared" si="30"/>
        <v>4917335.1539999992</v>
      </c>
      <c r="H69" s="93">
        <f t="shared" si="30"/>
        <v>5064855.2086200006</v>
      </c>
      <c r="I69" s="93">
        <f t="shared" si="30"/>
        <v>5216800.8648786005</v>
      </c>
      <c r="J69" s="93">
        <f>SUM(J71:J72)*J70</f>
        <v>5373304.8908249587</v>
      </c>
      <c r="K69" s="93">
        <f t="shared" ref="K69:M69" si="31">SUM(K71:K72)*K70</f>
        <v>5534504.0375497071</v>
      </c>
      <c r="L69" s="93">
        <f t="shared" si="31"/>
        <v>5700539.1586761987</v>
      </c>
      <c r="M69" s="817">
        <f t="shared" si="31"/>
        <v>5871555.3334364835</v>
      </c>
      <c r="N69" s="150">
        <f>SUM(D69:M69)</f>
        <v>47474321.447985947</v>
      </c>
      <c r="P69" s="1767" t="s">
        <v>476</v>
      </c>
      <c r="Q69" s="1768"/>
      <c r="R69" s="1768"/>
      <c r="S69" s="1768"/>
      <c r="T69" s="1768"/>
      <c r="U69" s="1768"/>
      <c r="V69" s="1769"/>
      <c r="W69" s="1812">
        <f>((W65*W67)+(X65*W68))/12</f>
        <v>24020.833333333332</v>
      </c>
      <c r="X69" s="1813"/>
    </row>
    <row r="70" spans="1:24" ht="15.75" thickBot="1">
      <c r="A70" s="818" t="s">
        <v>13</v>
      </c>
      <c r="B70" s="802" t="s">
        <v>12</v>
      </c>
      <c r="C70" s="1267">
        <v>96</v>
      </c>
      <c r="D70" s="123">
        <f>W65+X65</f>
        <v>12</v>
      </c>
      <c r="E70" s="97">
        <f>W65+X65</f>
        <v>12</v>
      </c>
      <c r="F70" s="97">
        <f t="shared" ref="F70:I70" si="32">E70</f>
        <v>12</v>
      </c>
      <c r="G70" s="97">
        <f t="shared" si="32"/>
        <v>12</v>
      </c>
      <c r="H70" s="97">
        <f t="shared" si="32"/>
        <v>12</v>
      </c>
      <c r="I70" s="97">
        <f t="shared" si="32"/>
        <v>12</v>
      </c>
      <c r="J70" s="97">
        <f t="shared" ref="J70" si="33">I70</f>
        <v>12</v>
      </c>
      <c r="K70" s="97">
        <f t="shared" ref="K70" si="34">J70</f>
        <v>12</v>
      </c>
      <c r="L70" s="97">
        <f t="shared" ref="L70" si="35">K70</f>
        <v>12</v>
      </c>
      <c r="M70" s="819">
        <f t="shared" ref="M70" si="36">L70</f>
        <v>12</v>
      </c>
      <c r="N70" s="150"/>
      <c r="P70" s="1770" t="s">
        <v>650</v>
      </c>
      <c r="Q70" s="1771"/>
      <c r="R70" s="1771"/>
      <c r="S70" s="1771"/>
      <c r="T70" s="1771"/>
      <c r="U70" s="1771"/>
      <c r="V70" s="1772"/>
      <c r="W70" s="1810">
        <v>0.03</v>
      </c>
      <c r="X70" s="1811"/>
    </row>
    <row r="71" spans="1:24">
      <c r="A71" s="820" t="s">
        <v>60</v>
      </c>
      <c r="B71" s="40" t="s">
        <v>11</v>
      </c>
      <c r="C71" s="1267">
        <v>230791.66</v>
      </c>
      <c r="D71" s="123">
        <f>W69</f>
        <v>24020.833333333332</v>
      </c>
      <c r="E71" s="97">
        <f>W69*12</f>
        <v>288250</v>
      </c>
      <c r="F71" s="97">
        <f>E71*1.03</f>
        <v>296897.5</v>
      </c>
      <c r="G71" s="97">
        <f>F71*1.03</f>
        <v>305804.42499999999</v>
      </c>
      <c r="H71" s="97">
        <f t="shared" ref="H71:M71" si="37">G71*1.03</f>
        <v>314978.55774999998</v>
      </c>
      <c r="I71" s="97">
        <f t="shared" si="37"/>
        <v>324427.9144825</v>
      </c>
      <c r="J71" s="97">
        <f t="shared" si="37"/>
        <v>334160.75191697502</v>
      </c>
      <c r="K71" s="97">
        <f t="shared" si="37"/>
        <v>344185.57447448425</v>
      </c>
      <c r="L71" s="97">
        <f t="shared" si="37"/>
        <v>354511.14170871879</v>
      </c>
      <c r="M71" s="819">
        <f t="shared" si="37"/>
        <v>365146.47595998034</v>
      </c>
      <c r="N71" s="46">
        <f t="shared" ref="N71:N72" si="38">SUM(D71:M71)</f>
        <v>2952383.1746259914</v>
      </c>
      <c r="P71" s="1618"/>
      <c r="V71" s="487"/>
      <c r="W71" s="1619"/>
      <c r="X71" s="1620"/>
    </row>
    <row r="72" spans="1:24" ht="15.75" thickBot="1">
      <c r="A72" s="27" t="s">
        <v>61</v>
      </c>
      <c r="B72" s="40" t="s">
        <v>11</v>
      </c>
      <c r="C72" s="1268">
        <f>C71*0.34</f>
        <v>78469.164400000009</v>
      </c>
      <c r="D72" s="98">
        <f>D71*0.34</f>
        <v>8167.0833333333339</v>
      </c>
      <c r="E72" s="97">
        <f>E71*0.34</f>
        <v>98005</v>
      </c>
      <c r="F72" s="99">
        <f t="shared" ref="F72:M72" si="39">F71*0.34</f>
        <v>100945.15000000001</v>
      </c>
      <c r="G72" s="99">
        <f t="shared" si="39"/>
        <v>103973.50450000001</v>
      </c>
      <c r="H72" s="99">
        <f t="shared" si="39"/>
        <v>107092.70963500001</v>
      </c>
      <c r="I72" s="99">
        <f t="shared" si="39"/>
        <v>110305.49092405001</v>
      </c>
      <c r="J72" s="99">
        <f t="shared" si="39"/>
        <v>113614.65565177151</v>
      </c>
      <c r="K72" s="99">
        <f t="shared" si="39"/>
        <v>117023.09532132465</v>
      </c>
      <c r="L72" s="99">
        <f t="shared" si="39"/>
        <v>120533.7881809644</v>
      </c>
      <c r="M72" s="847">
        <f t="shared" si="39"/>
        <v>124149.80182639332</v>
      </c>
      <c r="N72" s="46">
        <f t="shared" si="38"/>
        <v>1003810.2793728372</v>
      </c>
      <c r="P72" s="1618"/>
      <c r="V72" s="538"/>
      <c r="W72" s="1619"/>
      <c r="X72" s="1620"/>
    </row>
    <row r="73" spans="1:24" ht="15.75" thickBot="1">
      <c r="A73" s="29" t="s">
        <v>103</v>
      </c>
      <c r="B73" s="131" t="s">
        <v>1</v>
      </c>
      <c r="C73" s="1266">
        <v>39754888</v>
      </c>
      <c r="D73" s="104">
        <f>W73</f>
        <v>761968.68666666665</v>
      </c>
      <c r="E73" s="113">
        <f>W73*12</f>
        <v>9143624.2400000002</v>
      </c>
      <c r="F73" s="113">
        <f>E73*1.02</f>
        <v>9326496.7248</v>
      </c>
      <c r="G73" s="113">
        <f t="shared" ref="G73:M73" si="40">F73*1.02</f>
        <v>9513026.6592960004</v>
      </c>
      <c r="H73" s="113">
        <f t="shared" si="40"/>
        <v>9703287.1924819201</v>
      </c>
      <c r="I73" s="113">
        <f t="shared" si="40"/>
        <v>9897352.936331559</v>
      </c>
      <c r="J73" s="113">
        <f t="shared" si="40"/>
        <v>10095299.99505819</v>
      </c>
      <c r="K73" s="113">
        <f t="shared" si="40"/>
        <v>10297205.994959354</v>
      </c>
      <c r="L73" s="113">
        <f t="shared" si="40"/>
        <v>10503150.114858542</v>
      </c>
      <c r="M73" s="830">
        <f t="shared" si="40"/>
        <v>10713213.117155712</v>
      </c>
      <c r="N73" s="150">
        <f t="shared" ref="N73" si="41">SUM(D73:M73)</f>
        <v>89954625.661607951</v>
      </c>
      <c r="P73" s="1871" t="s">
        <v>557</v>
      </c>
      <c r="Q73" s="1872"/>
      <c r="R73" s="1872"/>
      <c r="S73" s="1872"/>
      <c r="T73" s="1872"/>
      <c r="U73" s="1872"/>
      <c r="V73" s="1873"/>
      <c r="W73" s="1814">
        <f>(C73*0.23)/12</f>
        <v>761968.68666666665</v>
      </c>
      <c r="X73" s="1815"/>
    </row>
    <row r="74" spans="1:24" ht="15.75" customHeight="1" thickBot="1">
      <c r="A74" s="30"/>
      <c r="B74" s="803"/>
      <c r="C74" s="1269"/>
      <c r="D74" s="101"/>
      <c r="E74" s="102"/>
      <c r="F74" s="103"/>
      <c r="G74" s="103"/>
      <c r="H74" s="103"/>
      <c r="I74" s="103"/>
      <c r="J74" s="103"/>
      <c r="K74" s="103"/>
      <c r="L74" s="103"/>
      <c r="M74" s="822"/>
      <c r="N74" s="46"/>
      <c r="P74" s="1874" t="s">
        <v>435</v>
      </c>
      <c r="Q74" s="1875"/>
      <c r="R74" s="1875"/>
      <c r="S74" s="1875"/>
      <c r="T74" s="1875"/>
      <c r="U74" s="1875"/>
      <c r="V74" s="1876"/>
      <c r="W74" s="1816"/>
      <c r="X74" s="1817"/>
    </row>
    <row r="75" spans="1:24" ht="15.75" thickBot="1">
      <c r="A75" s="29" t="s">
        <v>92</v>
      </c>
      <c r="B75" s="131" t="s">
        <v>1</v>
      </c>
      <c r="C75" s="1270">
        <f t="shared" ref="C75:M75" si="42">SUM(C77:C85)</f>
        <v>4346112</v>
      </c>
      <c r="D75" s="104">
        <f t="shared" si="42"/>
        <v>43378.531249999993</v>
      </c>
      <c r="E75" s="93">
        <f t="shared" si="42"/>
        <v>520542.375</v>
      </c>
      <c r="F75" s="93">
        <f t="shared" si="42"/>
        <v>532560.84899999993</v>
      </c>
      <c r="G75" s="93">
        <f t="shared" si="42"/>
        <v>544867.92127499997</v>
      </c>
      <c r="H75" s="93">
        <f t="shared" si="42"/>
        <v>557470.81065434997</v>
      </c>
      <c r="I75" s="93">
        <f t="shared" si="42"/>
        <v>570376.92374990252</v>
      </c>
      <c r="J75" s="93">
        <f t="shared" si="42"/>
        <v>583593.86001383991</v>
      </c>
      <c r="K75" s="93">
        <f t="shared" si="42"/>
        <v>597129.41693672456</v>
      </c>
      <c r="L75" s="93">
        <f t="shared" si="42"/>
        <v>610991.59538974497</v>
      </c>
      <c r="M75" s="817">
        <f t="shared" si="42"/>
        <v>625188.60511525418</v>
      </c>
      <c r="N75" s="150">
        <f t="shared" ref="N75:N111" si="43">SUM(D75:M75)</f>
        <v>5186100.8883848162</v>
      </c>
      <c r="P75" s="1618"/>
      <c r="V75" s="487"/>
      <c r="W75" s="1621"/>
      <c r="X75" s="1622"/>
    </row>
    <row r="76" spans="1:24" ht="15.75" thickBot="1">
      <c r="A76" s="31"/>
      <c r="B76" s="801"/>
      <c r="C76" s="1271"/>
      <c r="D76" s="286"/>
      <c r="E76" s="460"/>
      <c r="F76" s="461"/>
      <c r="G76" s="461"/>
      <c r="H76" s="461"/>
      <c r="I76" s="461"/>
      <c r="J76" s="461"/>
      <c r="K76" s="461"/>
      <c r="L76" s="461"/>
      <c r="M76" s="823"/>
      <c r="N76" s="150"/>
      <c r="P76" s="1618"/>
      <c r="Q76" s="83"/>
      <c r="R76" s="83"/>
      <c r="S76" s="83"/>
      <c r="T76" s="83"/>
      <c r="U76" s="83"/>
      <c r="V76" s="487"/>
      <c r="W76" s="1621"/>
      <c r="X76" s="1622"/>
    </row>
    <row r="77" spans="1:24" ht="15.75" thickBot="1">
      <c r="A77" s="824" t="s">
        <v>10</v>
      </c>
      <c r="B77" s="804" t="s">
        <v>1</v>
      </c>
      <c r="C77" s="1270">
        <f>'[1]Provozní náklady'!$C$76*1.5</f>
        <v>2153788.5</v>
      </c>
      <c r="D77" s="1277">
        <f>W77</f>
        <v>26922.356249999997</v>
      </c>
      <c r="E77" s="1278">
        <f>W77*12</f>
        <v>323068.27499999997</v>
      </c>
      <c r="F77" s="1278">
        <f>E77*1.02</f>
        <v>329529.64049999998</v>
      </c>
      <c r="G77" s="1278">
        <f t="shared" ref="G77:M77" si="44">F77*1.02</f>
        <v>336120.23330999998</v>
      </c>
      <c r="H77" s="1278">
        <f t="shared" si="44"/>
        <v>342842.63797619997</v>
      </c>
      <c r="I77" s="1278">
        <f t="shared" si="44"/>
        <v>349699.49073572399</v>
      </c>
      <c r="J77" s="1278">
        <f t="shared" si="44"/>
        <v>356693.48055043846</v>
      </c>
      <c r="K77" s="1278">
        <f t="shared" si="44"/>
        <v>363827.35016144725</v>
      </c>
      <c r="L77" s="1278">
        <f t="shared" si="44"/>
        <v>371103.89716467622</v>
      </c>
      <c r="M77" s="1279">
        <f t="shared" si="44"/>
        <v>378525.97510796977</v>
      </c>
      <c r="N77" s="46">
        <f t="shared" si="43"/>
        <v>3178333.3367564557</v>
      </c>
      <c r="P77" s="1758" t="s">
        <v>475</v>
      </c>
      <c r="Q77" s="1759"/>
      <c r="R77" s="1759"/>
      <c r="S77" s="1759"/>
      <c r="T77" s="1759"/>
      <c r="U77" s="1759"/>
      <c r="V77" s="1760"/>
      <c r="W77" s="1827">
        <f>(C77*0.15)/12</f>
        <v>26922.356249999997</v>
      </c>
      <c r="X77" s="1828"/>
    </row>
    <row r="78" spans="1:24" ht="15.75" thickBot="1">
      <c r="A78" s="820"/>
      <c r="B78" s="40"/>
      <c r="C78" s="1268"/>
      <c r="D78" s="107"/>
      <c r="E78" s="106"/>
      <c r="F78" s="109"/>
      <c r="G78" s="109"/>
      <c r="H78" s="109"/>
      <c r="I78" s="109"/>
      <c r="J78" s="109"/>
      <c r="K78" s="109"/>
      <c r="L78" s="109"/>
      <c r="M78" s="826"/>
      <c r="N78" s="150"/>
      <c r="P78" s="1623"/>
      <c r="V78" s="487"/>
      <c r="W78" s="1619"/>
      <c r="X78" s="1620"/>
    </row>
    <row r="79" spans="1:24" ht="15.75" thickBot="1">
      <c r="A79" s="827" t="s">
        <v>0</v>
      </c>
      <c r="B79" s="805" t="s">
        <v>1</v>
      </c>
      <c r="C79" s="1537">
        <f>'[1]Provozní náklady'!$C$78*1.5</f>
        <v>1308562.5</v>
      </c>
      <c r="D79" s="1263">
        <f>W79</f>
        <v>10904.6875</v>
      </c>
      <c r="E79" s="1264">
        <f>W79*12</f>
        <v>130856.25</v>
      </c>
      <c r="F79" s="1264">
        <f>E79*1.03</f>
        <v>134781.9375</v>
      </c>
      <c r="G79" s="1264">
        <f>F79*1.03</f>
        <v>138825.395625</v>
      </c>
      <c r="H79" s="1264">
        <f t="shared" ref="H79:M79" si="45">G79*1.03</f>
        <v>142990.15749375001</v>
      </c>
      <c r="I79" s="1264">
        <f t="shared" si="45"/>
        <v>147279.86221856251</v>
      </c>
      <c r="J79" s="1264">
        <f t="shared" si="45"/>
        <v>151698.25808511939</v>
      </c>
      <c r="K79" s="1264">
        <f t="shared" si="45"/>
        <v>156249.20582767297</v>
      </c>
      <c r="L79" s="1264">
        <f t="shared" si="45"/>
        <v>160936.68200250316</v>
      </c>
      <c r="M79" s="1265">
        <f t="shared" si="45"/>
        <v>165764.78246257827</v>
      </c>
      <c r="N79" s="46">
        <f t="shared" si="43"/>
        <v>1340287.2187151862</v>
      </c>
      <c r="P79" s="1755" t="s">
        <v>477</v>
      </c>
      <c r="Q79" s="1756"/>
      <c r="R79" s="1756"/>
      <c r="S79" s="1756"/>
      <c r="T79" s="1756"/>
      <c r="U79" s="1756"/>
      <c r="V79" s="1757"/>
      <c r="W79" s="1827">
        <f>(C79*0.1)/12</f>
        <v>10904.6875</v>
      </c>
      <c r="X79" s="1828"/>
    </row>
    <row r="81" spans="1:24" ht="15.75" thickBot="1">
      <c r="A81" s="827" t="s">
        <v>174</v>
      </c>
      <c r="B81" s="805" t="s">
        <v>1</v>
      </c>
      <c r="C81" s="1537">
        <v>0</v>
      </c>
      <c r="D81" s="1263">
        <f>W80</f>
        <v>0</v>
      </c>
      <c r="E81" s="1264">
        <f>W80*12</f>
        <v>0</v>
      </c>
      <c r="F81" s="1264">
        <f>E81*1.02</f>
        <v>0</v>
      </c>
      <c r="G81" s="1264">
        <f t="shared" ref="G81:M81" si="46">F81*1.02</f>
        <v>0</v>
      </c>
      <c r="H81" s="1264">
        <f t="shared" si="46"/>
        <v>0</v>
      </c>
      <c r="I81" s="1264">
        <f t="shared" si="46"/>
        <v>0</v>
      </c>
      <c r="J81" s="1264">
        <f t="shared" si="46"/>
        <v>0</v>
      </c>
      <c r="K81" s="1264">
        <f t="shared" si="46"/>
        <v>0</v>
      </c>
      <c r="L81" s="1264">
        <f t="shared" si="46"/>
        <v>0</v>
      </c>
      <c r="M81" s="1265">
        <f t="shared" si="46"/>
        <v>0</v>
      </c>
      <c r="N81" s="46">
        <f t="shared" si="43"/>
        <v>0</v>
      </c>
      <c r="P81" s="1758" t="s">
        <v>436</v>
      </c>
      <c r="Q81" s="1759"/>
      <c r="R81" s="1759"/>
      <c r="S81" s="1759"/>
      <c r="T81" s="1759"/>
      <c r="U81" s="1759"/>
      <c r="V81" s="1760"/>
      <c r="W81" s="1282"/>
      <c r="X81" s="1624">
        <v>0</v>
      </c>
    </row>
    <row r="82" spans="1:24" ht="15.75" thickBot="1">
      <c r="A82" s="820"/>
      <c r="B82" s="40"/>
      <c r="C82" s="1268"/>
      <c r="D82" s="107"/>
      <c r="E82" s="108"/>
      <c r="F82" s="109"/>
      <c r="G82" s="109"/>
      <c r="H82" s="109"/>
      <c r="I82" s="109"/>
      <c r="J82" s="109"/>
      <c r="K82" s="109"/>
      <c r="L82" s="109"/>
      <c r="M82" s="826"/>
      <c r="N82" s="150"/>
      <c r="P82" s="1618"/>
      <c r="V82" s="487"/>
      <c r="W82" s="1619"/>
      <c r="X82" s="1620"/>
    </row>
    <row r="83" spans="1:24" ht="15.75" thickBot="1">
      <c r="A83" s="827" t="s">
        <v>8</v>
      </c>
      <c r="B83" s="805" t="s">
        <v>1</v>
      </c>
      <c r="C83" s="1537">
        <f>'[1]Provozní náklady'!$C$82*1.5</f>
        <v>149532</v>
      </c>
      <c r="D83" s="1263">
        <f>W83</f>
        <v>2492.2000000000003</v>
      </c>
      <c r="E83" s="1264">
        <f>W83*12</f>
        <v>29906.400000000001</v>
      </c>
      <c r="F83" s="1264">
        <f>E83*1.03</f>
        <v>30803.592000000001</v>
      </c>
      <c r="G83" s="1264">
        <f>F83*1.03</f>
        <v>31727.699760000003</v>
      </c>
      <c r="H83" s="1264">
        <f t="shared" ref="H83:M83" si="47">G83*1.03</f>
        <v>32679.530752800005</v>
      </c>
      <c r="I83" s="1264">
        <f t="shared" si="47"/>
        <v>33659.916675384004</v>
      </c>
      <c r="J83" s="1264">
        <f t="shared" si="47"/>
        <v>34669.714175645524</v>
      </c>
      <c r="K83" s="1264">
        <f t="shared" si="47"/>
        <v>35709.805600914893</v>
      </c>
      <c r="L83" s="1264">
        <f t="shared" si="47"/>
        <v>36781.099768942338</v>
      </c>
      <c r="M83" s="1265">
        <f t="shared" si="47"/>
        <v>37884.532762010611</v>
      </c>
      <c r="N83" s="46">
        <f t="shared" si="43"/>
        <v>306314.49149569741</v>
      </c>
      <c r="P83" s="1758" t="s">
        <v>478</v>
      </c>
      <c r="Q83" s="1759"/>
      <c r="R83" s="1759"/>
      <c r="S83" s="1759"/>
      <c r="T83" s="1759"/>
      <c r="U83" s="1759"/>
      <c r="V83" s="1760"/>
      <c r="W83" s="1827">
        <f>(C83*0.2)/12</f>
        <v>2492.2000000000003</v>
      </c>
      <c r="X83" s="1828"/>
    </row>
    <row r="84" spans="1:24" ht="15.75" thickBot="1">
      <c r="A84" s="820"/>
      <c r="B84" s="40"/>
      <c r="C84" s="1268"/>
      <c r="D84" s="107"/>
      <c r="E84" s="108"/>
      <c r="F84" s="109"/>
      <c r="G84" s="109"/>
      <c r="H84" s="109"/>
      <c r="I84" s="109"/>
      <c r="J84" s="109"/>
      <c r="K84" s="109"/>
      <c r="L84" s="109"/>
      <c r="M84" s="826"/>
      <c r="N84" s="150"/>
      <c r="P84" s="1625"/>
      <c r="Q84" s="1614"/>
      <c r="R84" s="1614"/>
      <c r="S84" s="1614"/>
      <c r="T84" s="1614"/>
      <c r="U84" s="1614"/>
      <c r="V84" s="1243"/>
      <c r="W84" s="1619"/>
      <c r="X84" s="1620"/>
    </row>
    <row r="85" spans="1:24" ht="15.75" thickBot="1">
      <c r="A85" s="827" t="s">
        <v>7</v>
      </c>
      <c r="B85" s="805" t="s">
        <v>1</v>
      </c>
      <c r="C85" s="1537">
        <f>'[1]Provozní náklady'!$C$84*1.5</f>
        <v>734229</v>
      </c>
      <c r="D85" s="1263">
        <f>W85</f>
        <v>3059.2875000000004</v>
      </c>
      <c r="E85" s="1264">
        <f>W85*12</f>
        <v>36711.450000000004</v>
      </c>
      <c r="F85" s="1264">
        <f>E85*1.02</f>
        <v>37445.679000000004</v>
      </c>
      <c r="G85" s="1264">
        <f t="shared" ref="G85:M85" si="48">F85*1.02</f>
        <v>38194.592580000004</v>
      </c>
      <c r="H85" s="1264">
        <f t="shared" si="48"/>
        <v>38958.484431600002</v>
      </c>
      <c r="I85" s="1264">
        <f t="shared" si="48"/>
        <v>39737.654120232</v>
      </c>
      <c r="J85" s="1264">
        <f t="shared" si="48"/>
        <v>40532.407202636641</v>
      </c>
      <c r="K85" s="1264">
        <f t="shared" si="48"/>
        <v>41343.055346689376</v>
      </c>
      <c r="L85" s="1264">
        <f t="shared" si="48"/>
        <v>42169.916453623162</v>
      </c>
      <c r="M85" s="1265">
        <f t="shared" si="48"/>
        <v>43013.314782695626</v>
      </c>
      <c r="N85" s="46">
        <f t="shared" si="43"/>
        <v>361165.84141747683</v>
      </c>
      <c r="P85" s="1838" t="s">
        <v>437</v>
      </c>
      <c r="Q85" s="1839"/>
      <c r="R85" s="1839"/>
      <c r="S85" s="1839"/>
      <c r="T85" s="1839"/>
      <c r="U85" s="1839"/>
      <c r="V85" s="1840"/>
      <c r="W85" s="1827">
        <f>(C85*0.05)/12</f>
        <v>3059.2875000000004</v>
      </c>
      <c r="X85" s="1828"/>
    </row>
    <row r="86" spans="1:24" ht="15.75" thickBot="1">
      <c r="A86" s="30"/>
      <c r="B86" s="803"/>
      <c r="C86" s="1272"/>
      <c r="D86" s="110"/>
      <c r="E86" s="111"/>
      <c r="F86" s="112"/>
      <c r="G86" s="112"/>
      <c r="H86" s="112"/>
      <c r="I86" s="112"/>
      <c r="J86" s="112"/>
      <c r="K86" s="112"/>
      <c r="L86" s="112"/>
      <c r="M86" s="692"/>
      <c r="N86" s="150"/>
      <c r="P86" s="1623"/>
      <c r="V86" s="487"/>
      <c r="W86" s="1619"/>
      <c r="X86" s="1620"/>
    </row>
    <row r="87" spans="1:24" ht="15.75" thickBot="1">
      <c r="A87" s="29" t="s">
        <v>6</v>
      </c>
      <c r="B87" s="131" t="s">
        <v>5</v>
      </c>
      <c r="C87" s="1266">
        <v>2966544</v>
      </c>
      <c r="D87" s="104">
        <f>W86*2</f>
        <v>0</v>
      </c>
      <c r="E87" s="113">
        <f>W86*12</f>
        <v>0</v>
      </c>
      <c r="F87" s="113">
        <f>E87</f>
        <v>0</v>
      </c>
      <c r="G87" s="113">
        <f t="shared" ref="G87:M87" si="49">F87</f>
        <v>0</v>
      </c>
      <c r="H87" s="113">
        <f t="shared" si="49"/>
        <v>0</v>
      </c>
      <c r="I87" s="113">
        <f>H87*1.15</f>
        <v>0</v>
      </c>
      <c r="J87" s="113">
        <f t="shared" si="49"/>
        <v>0</v>
      </c>
      <c r="K87" s="113">
        <f t="shared" si="49"/>
        <v>0</v>
      </c>
      <c r="L87" s="113">
        <f t="shared" si="49"/>
        <v>0</v>
      </c>
      <c r="M87" s="830">
        <f t="shared" si="49"/>
        <v>0</v>
      </c>
      <c r="N87" s="46">
        <f t="shared" si="43"/>
        <v>0</v>
      </c>
      <c r="P87" s="1758" t="s">
        <v>438</v>
      </c>
      <c r="Q87" s="1759"/>
      <c r="R87" s="1759"/>
      <c r="S87" s="1759"/>
      <c r="T87" s="1759"/>
      <c r="U87" s="1759"/>
      <c r="V87" s="1760"/>
      <c r="W87" s="1827">
        <v>0</v>
      </c>
      <c r="X87" s="1828"/>
    </row>
    <row r="88" spans="1:24" ht="15.75" thickBot="1">
      <c r="A88" s="30"/>
      <c r="B88" s="803"/>
      <c r="C88" s="1271"/>
      <c r="D88" s="286"/>
      <c r="E88" s="1549"/>
      <c r="F88" s="1550"/>
      <c r="G88" s="1550"/>
      <c r="H88" s="1550"/>
      <c r="I88" s="1550"/>
      <c r="J88" s="1550"/>
      <c r="K88" s="1550"/>
      <c r="L88" s="1550"/>
      <c r="M88" s="1551"/>
      <c r="N88" s="46"/>
      <c r="P88" s="1623"/>
      <c r="V88" s="487"/>
      <c r="W88" s="1619"/>
      <c r="X88" s="1620"/>
    </row>
    <row r="89" spans="1:24" ht="15.75" thickBot="1">
      <c r="A89" s="29" t="s">
        <v>4</v>
      </c>
      <c r="B89" s="131" t="s">
        <v>1</v>
      </c>
      <c r="C89" s="1266">
        <v>4823285.75</v>
      </c>
      <c r="D89" s="100">
        <v>0</v>
      </c>
      <c r="E89" s="113">
        <f>W89</f>
        <v>20097.023958333335</v>
      </c>
      <c r="F89" s="113">
        <f>E89*1.01</f>
        <v>20297.994197916669</v>
      </c>
      <c r="G89" s="113">
        <f>F89*1.02</f>
        <v>20703.954081875003</v>
      </c>
      <c r="H89" s="113">
        <f>G89*1.03</f>
        <v>21325.072704331254</v>
      </c>
      <c r="I89" s="113">
        <f>H89*1.04</f>
        <v>22178.075612504505</v>
      </c>
      <c r="J89" s="113">
        <f>I89+2000</f>
        <v>24178.075612504505</v>
      </c>
      <c r="K89" s="113">
        <f t="shared" ref="K89:M89" si="50">J89+2000</f>
        <v>26178.075612504505</v>
      </c>
      <c r="L89" s="113">
        <f t="shared" si="50"/>
        <v>28178.075612504505</v>
      </c>
      <c r="M89" s="830">
        <f t="shared" si="50"/>
        <v>30178.075612504505</v>
      </c>
      <c r="N89" s="150">
        <f t="shared" si="43"/>
        <v>213314.42300497877</v>
      </c>
      <c r="P89" s="1626" t="s">
        <v>558</v>
      </c>
      <c r="Q89" s="1283"/>
      <c r="R89" s="1283"/>
      <c r="S89" s="1283"/>
      <c r="T89" s="1283"/>
      <c r="U89" s="1283"/>
      <c r="V89" s="1284"/>
      <c r="W89" s="1841">
        <f>(C89*0.05)/12</f>
        <v>20097.023958333335</v>
      </c>
      <c r="X89" s="1815"/>
    </row>
    <row r="90" spans="1:24" ht="15.75" customHeight="1" thickBot="1">
      <c r="A90" s="831"/>
      <c r="B90" s="806"/>
      <c r="C90" s="1273"/>
      <c r="D90" s="145"/>
      <c r="E90" s="278"/>
      <c r="F90" s="278"/>
      <c r="G90" s="278"/>
      <c r="H90" s="278"/>
      <c r="I90" s="278"/>
      <c r="J90" s="278"/>
      <c r="K90" s="278"/>
      <c r="L90" s="278"/>
      <c r="M90" s="832"/>
      <c r="N90" s="46"/>
      <c r="P90" s="1831" t="s">
        <v>649</v>
      </c>
      <c r="Q90" s="1832"/>
      <c r="R90" s="1832"/>
      <c r="S90" s="1832"/>
      <c r="T90" s="1832"/>
      <c r="U90" s="1832"/>
      <c r="V90" s="1833"/>
      <c r="W90" s="1842"/>
      <c r="X90" s="1817"/>
    </row>
    <row r="91" spans="1:24" ht="15.75" thickBot="1">
      <c r="A91" s="29" t="s">
        <v>574</v>
      </c>
      <c r="B91" s="131" t="s">
        <v>126</v>
      </c>
      <c r="C91" s="1266">
        <f t="shared" ref="C91:M91" si="51">C73+C75+C87+C89</f>
        <v>51890829.75</v>
      </c>
      <c r="D91" s="100">
        <f t="shared" si="51"/>
        <v>805347.21791666665</v>
      </c>
      <c r="E91" s="113">
        <f t="shared" si="51"/>
        <v>9684263.6389583331</v>
      </c>
      <c r="F91" s="279">
        <f t="shared" si="51"/>
        <v>9879355.5679979157</v>
      </c>
      <c r="G91" s="279">
        <f t="shared" si="51"/>
        <v>10078598.534652874</v>
      </c>
      <c r="H91" s="279">
        <f t="shared" si="51"/>
        <v>10282083.075840602</v>
      </c>
      <c r="I91" s="279">
        <f t="shared" si="51"/>
        <v>10489907.935693966</v>
      </c>
      <c r="J91" s="279">
        <f t="shared" si="51"/>
        <v>10703071.930684535</v>
      </c>
      <c r="K91" s="279">
        <f t="shared" si="51"/>
        <v>10920513.487508584</v>
      </c>
      <c r="L91" s="279">
        <f t="shared" si="51"/>
        <v>11142319.78586079</v>
      </c>
      <c r="M91" s="833">
        <f t="shared" si="51"/>
        <v>11368579.79788347</v>
      </c>
      <c r="N91" s="1080">
        <f t="shared" si="43"/>
        <v>95354040.97299774</v>
      </c>
      <c r="P91" s="1618"/>
      <c r="V91" s="487"/>
      <c r="W91" s="1621"/>
      <c r="X91" s="1622"/>
    </row>
    <row r="92" spans="1:24" ht="15.75" customHeight="1" thickBot="1">
      <c r="A92" s="31"/>
      <c r="B92" s="801"/>
      <c r="C92" s="1271"/>
      <c r="D92" s="114"/>
      <c r="E92" s="1552"/>
      <c r="F92" s="1553"/>
      <c r="G92" s="1553"/>
      <c r="H92" s="1553"/>
      <c r="I92" s="1553"/>
      <c r="J92" s="1553"/>
      <c r="K92" s="1553"/>
      <c r="L92" s="1553"/>
      <c r="M92" s="1554"/>
      <c r="N92" s="46"/>
      <c r="P92" s="1618"/>
      <c r="V92" s="538"/>
      <c r="W92" s="1619"/>
      <c r="X92" s="1620"/>
    </row>
    <row r="93" spans="1:24" ht="15.75" customHeight="1" thickBot="1">
      <c r="A93" s="835" t="s">
        <v>641</v>
      </c>
      <c r="B93" s="131" t="s">
        <v>1</v>
      </c>
      <c r="C93" s="1266">
        <v>112500</v>
      </c>
      <c r="D93" s="115">
        <f>W93</f>
        <v>200000</v>
      </c>
      <c r="E93" s="116">
        <v>0</v>
      </c>
      <c r="F93" s="116">
        <f>E93</f>
        <v>0</v>
      </c>
      <c r="G93" s="116">
        <f t="shared" ref="G93:I93" si="52">F93</f>
        <v>0</v>
      </c>
      <c r="H93" s="116">
        <f t="shared" si="52"/>
        <v>0</v>
      </c>
      <c r="I93" s="116">
        <f t="shared" si="52"/>
        <v>0</v>
      </c>
      <c r="J93" s="116">
        <v>0</v>
      </c>
      <c r="K93" s="116">
        <v>0</v>
      </c>
      <c r="L93" s="116">
        <v>0</v>
      </c>
      <c r="M93" s="849">
        <v>0</v>
      </c>
      <c r="N93" s="150">
        <f t="shared" si="43"/>
        <v>200000</v>
      </c>
      <c r="P93" s="1793" t="s">
        <v>648</v>
      </c>
      <c r="Q93" s="1794"/>
      <c r="R93" s="1794"/>
      <c r="S93" s="1794"/>
      <c r="T93" s="1794"/>
      <c r="U93" s="1794"/>
      <c r="V93" s="1795"/>
      <c r="W93" s="1834">
        <f>'Investiční náklady_vznik'!D29</f>
        <v>200000</v>
      </c>
      <c r="X93" s="1835"/>
    </row>
    <row r="94" spans="1:24" ht="15.75" customHeight="1" thickBot="1">
      <c r="A94" s="30"/>
      <c r="B94" s="803"/>
      <c r="C94" s="1272"/>
      <c r="D94" s="1548"/>
      <c r="E94" s="467"/>
      <c r="F94" s="467"/>
      <c r="G94" s="467"/>
      <c r="H94" s="467"/>
      <c r="I94" s="467"/>
      <c r="J94" s="467"/>
      <c r="K94" s="467"/>
      <c r="L94" s="467"/>
      <c r="M94" s="855"/>
      <c r="N94" s="46"/>
      <c r="P94" s="1796"/>
      <c r="Q94" s="1797"/>
      <c r="R94" s="1797"/>
      <c r="S94" s="1797"/>
      <c r="T94" s="1797"/>
      <c r="U94" s="1797"/>
      <c r="V94" s="1798"/>
      <c r="W94" s="1836"/>
      <c r="X94" s="1837"/>
    </row>
    <row r="95" spans="1:24" ht="30" customHeight="1" thickBot="1">
      <c r="A95" s="835" t="s">
        <v>125</v>
      </c>
      <c r="B95" s="131" t="s">
        <v>1</v>
      </c>
      <c r="C95" s="1266">
        <v>540439.54</v>
      </c>
      <c r="D95" s="115">
        <f>W95/12</f>
        <v>13510.988499999999</v>
      </c>
      <c r="E95" s="116">
        <f>W95</f>
        <v>162131.86199999999</v>
      </c>
      <c r="F95" s="116">
        <f>E95*1.01</f>
        <v>163753.18062</v>
      </c>
      <c r="G95" s="116">
        <f t="shared" ref="G95:M95" si="53">F95*1.01</f>
        <v>165390.71242620001</v>
      </c>
      <c r="H95" s="116">
        <f t="shared" si="53"/>
        <v>167044.61955046203</v>
      </c>
      <c r="I95" s="116">
        <f t="shared" si="53"/>
        <v>168715.06574596665</v>
      </c>
      <c r="J95" s="116">
        <f t="shared" si="53"/>
        <v>170402.21640342631</v>
      </c>
      <c r="K95" s="116">
        <f t="shared" si="53"/>
        <v>172106.23856746059</v>
      </c>
      <c r="L95" s="116">
        <f t="shared" si="53"/>
        <v>173827.30095313519</v>
      </c>
      <c r="M95" s="849">
        <f t="shared" si="53"/>
        <v>175565.57396266653</v>
      </c>
      <c r="N95" s="150">
        <f t="shared" si="43"/>
        <v>1532447.7587293172</v>
      </c>
      <c r="P95" s="1793" t="s">
        <v>647</v>
      </c>
      <c r="Q95" s="1794"/>
      <c r="R95" s="1794"/>
      <c r="S95" s="1794"/>
      <c r="T95" s="1794"/>
      <c r="U95" s="1794"/>
      <c r="V95" s="1795"/>
      <c r="W95" s="1834">
        <f>C95*0.3</f>
        <v>162131.86199999999</v>
      </c>
      <c r="X95" s="1835"/>
    </row>
    <row r="96" spans="1:24" ht="15.75" customHeight="1" thickBot="1">
      <c r="A96" s="31"/>
      <c r="B96" s="801"/>
      <c r="C96" s="1271"/>
      <c r="D96" s="127"/>
      <c r="E96" s="466"/>
      <c r="F96" s="467"/>
      <c r="G96" s="467"/>
      <c r="H96" s="467"/>
      <c r="I96" s="467"/>
      <c r="J96" s="467"/>
      <c r="K96" s="467"/>
      <c r="L96" s="467"/>
      <c r="M96" s="855"/>
      <c r="N96" s="46"/>
      <c r="P96" s="1796"/>
      <c r="Q96" s="1797"/>
      <c r="R96" s="1797"/>
      <c r="S96" s="1797"/>
      <c r="T96" s="1797"/>
      <c r="U96" s="1797"/>
      <c r="V96" s="1798"/>
      <c r="W96" s="1843"/>
      <c r="X96" s="1844"/>
    </row>
    <row r="97" spans="1:26" s="83" customFormat="1" ht="15.75" customHeight="1" thickBot="1">
      <c r="A97" s="839" t="s">
        <v>579</v>
      </c>
      <c r="B97" s="135" t="s">
        <v>1</v>
      </c>
      <c r="C97" s="1274">
        <v>303955.88</v>
      </c>
      <c r="D97" s="115">
        <f>W97/12</f>
        <v>3750</v>
      </c>
      <c r="E97" s="116">
        <f>W97</f>
        <v>45000</v>
      </c>
      <c r="F97" s="116">
        <f t="shared" ref="F97:I97" si="54">E97</f>
        <v>45000</v>
      </c>
      <c r="G97" s="116">
        <f t="shared" si="54"/>
        <v>45000</v>
      </c>
      <c r="H97" s="116">
        <f t="shared" si="54"/>
        <v>45000</v>
      </c>
      <c r="I97" s="116">
        <f t="shared" si="54"/>
        <v>45000</v>
      </c>
      <c r="J97" s="116">
        <f t="shared" ref="J97" si="55">I97</f>
        <v>45000</v>
      </c>
      <c r="K97" s="116">
        <f t="shared" ref="K97" si="56">J97</f>
        <v>45000</v>
      </c>
      <c r="L97" s="116">
        <f t="shared" ref="L97" si="57">K97</f>
        <v>45000</v>
      </c>
      <c r="M97" s="849">
        <f t="shared" ref="M97" si="58">L97</f>
        <v>45000</v>
      </c>
      <c r="N97" s="1080">
        <f t="shared" si="43"/>
        <v>408750</v>
      </c>
      <c r="O97" s="3"/>
      <c r="P97" s="1793" t="s">
        <v>642</v>
      </c>
      <c r="Q97" s="1794"/>
      <c r="R97" s="1794"/>
      <c r="S97" s="1794"/>
      <c r="T97" s="1794"/>
      <c r="U97" s="1794"/>
      <c r="V97" s="1795"/>
      <c r="W97" s="1834">
        <v>45000</v>
      </c>
      <c r="X97" s="1835"/>
      <c r="Z97" s="1845"/>
    </row>
    <row r="98" spans="1:26" ht="15.75" thickBot="1">
      <c r="A98" s="31"/>
      <c r="B98" s="807"/>
      <c r="C98" s="1275"/>
      <c r="D98" s="118"/>
      <c r="E98" s="119"/>
      <c r="F98" s="119"/>
      <c r="G98" s="119"/>
      <c r="H98" s="119"/>
      <c r="I98" s="119"/>
      <c r="J98" s="119"/>
      <c r="K98" s="119"/>
      <c r="L98" s="119"/>
      <c r="M98" s="840"/>
      <c r="N98" s="46"/>
      <c r="P98" s="1796"/>
      <c r="Q98" s="1797"/>
      <c r="R98" s="1797"/>
      <c r="S98" s="1797"/>
      <c r="T98" s="1797"/>
      <c r="U98" s="1797"/>
      <c r="V98" s="1798"/>
      <c r="W98" s="1836"/>
      <c r="X98" s="1837"/>
      <c r="Z98" s="1845"/>
    </row>
    <row r="99" spans="1:26" ht="15.75" thickBot="1">
      <c r="A99" s="29" t="s">
        <v>3</v>
      </c>
      <c r="B99" s="131" t="s">
        <v>1</v>
      </c>
      <c r="C99" s="1266">
        <v>0</v>
      </c>
      <c r="D99" s="100">
        <v>0</v>
      </c>
      <c r="E99" s="93">
        <f>W97</f>
        <v>45000</v>
      </c>
      <c r="F99" s="93">
        <f>E99</f>
        <v>45000</v>
      </c>
      <c r="G99" s="93">
        <f t="shared" ref="G99:M99" si="59">F99</f>
        <v>45000</v>
      </c>
      <c r="H99" s="93">
        <f t="shared" si="59"/>
        <v>45000</v>
      </c>
      <c r="I99" s="93">
        <f t="shared" si="59"/>
        <v>45000</v>
      </c>
      <c r="J99" s="93">
        <f t="shared" si="59"/>
        <v>45000</v>
      </c>
      <c r="K99" s="93">
        <f t="shared" si="59"/>
        <v>45000</v>
      </c>
      <c r="L99" s="93">
        <f t="shared" si="59"/>
        <v>45000</v>
      </c>
      <c r="M99" s="817">
        <f t="shared" si="59"/>
        <v>45000</v>
      </c>
      <c r="N99" s="150">
        <f t="shared" si="43"/>
        <v>405000</v>
      </c>
      <c r="P99" s="1627" t="s">
        <v>651</v>
      </c>
      <c r="Q99" s="537"/>
      <c r="R99" s="537"/>
      <c r="S99" s="537"/>
      <c r="T99" s="537"/>
      <c r="U99" s="537"/>
      <c r="V99" s="1285"/>
      <c r="W99" s="1820">
        <v>45000</v>
      </c>
      <c r="X99" s="1821"/>
      <c r="Z99" s="289"/>
    </row>
    <row r="100" spans="1:26" ht="15.75" thickBot="1">
      <c r="A100" s="831"/>
      <c r="B100" s="806"/>
      <c r="C100" s="1273"/>
      <c r="D100" s="145"/>
      <c r="E100" s="1555"/>
      <c r="F100" s="1556"/>
      <c r="G100" s="1556"/>
      <c r="H100" s="1556"/>
      <c r="I100" s="1556"/>
      <c r="J100" s="1556"/>
      <c r="K100" s="1556"/>
      <c r="L100" s="1556"/>
      <c r="M100" s="1557"/>
      <c r="N100" s="46"/>
      <c r="P100" s="1618"/>
      <c r="V100" s="538"/>
      <c r="W100" s="1621"/>
      <c r="X100" s="1622"/>
      <c r="Z100" s="289"/>
    </row>
    <row r="101" spans="1:26" ht="15.75" thickBot="1">
      <c r="A101" s="29" t="s">
        <v>623</v>
      </c>
      <c r="B101" s="131" t="s">
        <v>1</v>
      </c>
      <c r="C101" s="1274">
        <f>C93+C95+C99</f>
        <v>652939.54</v>
      </c>
      <c r="D101" s="100">
        <f>D93+D95+D99</f>
        <v>213510.98850000001</v>
      </c>
      <c r="E101" s="94">
        <f>E93+E95+E99</f>
        <v>207131.86199999999</v>
      </c>
      <c r="F101" s="94">
        <f t="shared" ref="F101:M101" si="60">F93+F95+F99</f>
        <v>208753.18062</v>
      </c>
      <c r="G101" s="94">
        <f t="shared" si="60"/>
        <v>210390.71242620001</v>
      </c>
      <c r="H101" s="94">
        <f t="shared" si="60"/>
        <v>212044.61955046203</v>
      </c>
      <c r="I101" s="94">
        <f t="shared" si="60"/>
        <v>213715.06574596665</v>
      </c>
      <c r="J101" s="94">
        <f t="shared" si="60"/>
        <v>215402.21640342631</v>
      </c>
      <c r="K101" s="94">
        <f t="shared" si="60"/>
        <v>217106.23856746059</v>
      </c>
      <c r="L101" s="94">
        <f t="shared" si="60"/>
        <v>218827.30095313519</v>
      </c>
      <c r="M101" s="829">
        <f t="shared" si="60"/>
        <v>220565.57396266653</v>
      </c>
      <c r="N101" s="1080">
        <f t="shared" si="43"/>
        <v>2137447.7587293172</v>
      </c>
      <c r="P101" s="1618"/>
      <c r="V101" s="487"/>
      <c r="W101" s="1621"/>
      <c r="X101" s="1622"/>
      <c r="Z101" s="289"/>
    </row>
    <row r="102" spans="1:26" ht="15.75" thickBot="1">
      <c r="A102" s="27"/>
      <c r="B102" s="808"/>
      <c r="C102" s="1271"/>
      <c r="D102" s="114"/>
      <c r="E102" s="46"/>
      <c r="F102" s="46"/>
      <c r="G102" s="46"/>
      <c r="H102" s="46"/>
      <c r="I102" s="46"/>
      <c r="J102" s="46"/>
      <c r="K102" s="46"/>
      <c r="L102" s="46"/>
      <c r="M102" s="834"/>
      <c r="N102" s="46"/>
      <c r="P102" s="1618"/>
      <c r="V102" s="487"/>
      <c r="W102" s="1621"/>
      <c r="X102" s="1622"/>
      <c r="Z102" s="289"/>
    </row>
    <row r="103" spans="1:26" ht="15.75" thickBot="1">
      <c r="A103" s="29" t="s">
        <v>580</v>
      </c>
      <c r="B103" s="131" t="s">
        <v>1</v>
      </c>
      <c r="C103" s="1266">
        <f>C105</f>
        <v>7760000</v>
      </c>
      <c r="D103" s="132">
        <v>0</v>
      </c>
      <c r="E103" s="133">
        <v>0</v>
      </c>
      <c r="F103" s="133">
        <v>0</v>
      </c>
      <c r="G103" s="133">
        <v>0</v>
      </c>
      <c r="H103" s="133">
        <v>0</v>
      </c>
      <c r="I103" s="133">
        <v>0</v>
      </c>
      <c r="J103" s="133">
        <v>0</v>
      </c>
      <c r="K103" s="133">
        <v>0</v>
      </c>
      <c r="L103" s="133">
        <v>0</v>
      </c>
      <c r="M103" s="843">
        <v>0</v>
      </c>
      <c r="N103" s="46">
        <f t="shared" si="43"/>
        <v>0</v>
      </c>
      <c r="P103" s="1618"/>
      <c r="V103" s="487"/>
      <c r="W103" s="1621"/>
      <c r="X103" s="1622"/>
      <c r="Z103" s="289"/>
    </row>
    <row r="104" spans="1:26" ht="15.75" thickBot="1">
      <c r="A104" s="27"/>
      <c r="B104" s="808"/>
      <c r="C104" s="1271"/>
      <c r="D104" s="114"/>
      <c r="E104" s="1552"/>
      <c r="F104" s="1553"/>
      <c r="G104" s="1553"/>
      <c r="H104" s="1553"/>
      <c r="I104" s="1553"/>
      <c r="J104" s="1553"/>
      <c r="K104" s="1553"/>
      <c r="L104" s="1553"/>
      <c r="M104" s="1554"/>
      <c r="N104" s="46"/>
      <c r="P104" s="1618"/>
      <c r="V104" s="487"/>
      <c r="W104" s="1621"/>
      <c r="X104" s="1622"/>
      <c r="Z104" s="289"/>
    </row>
    <row r="105" spans="1:26" ht="15.75" customHeight="1" thickBot="1">
      <c r="A105" s="29" t="s">
        <v>583</v>
      </c>
      <c r="B105" s="131" t="s">
        <v>1</v>
      </c>
      <c r="C105" s="1266">
        <f>C107+C109</f>
        <v>7760000</v>
      </c>
      <c r="D105" s="132">
        <f>D107+D109</f>
        <v>0</v>
      </c>
      <c r="E105" s="133">
        <f>E107+E109</f>
        <v>0</v>
      </c>
      <c r="F105" s="133">
        <f t="shared" ref="F105:M105" si="61">F107+F109</f>
        <v>0</v>
      </c>
      <c r="G105" s="133">
        <f t="shared" si="61"/>
        <v>0</v>
      </c>
      <c r="H105" s="133">
        <f t="shared" si="61"/>
        <v>0</v>
      </c>
      <c r="I105" s="133">
        <f t="shared" si="61"/>
        <v>0</v>
      </c>
      <c r="J105" s="133">
        <f t="shared" si="61"/>
        <v>0</v>
      </c>
      <c r="K105" s="133">
        <f t="shared" si="61"/>
        <v>0</v>
      </c>
      <c r="L105" s="133">
        <f t="shared" si="61"/>
        <v>0</v>
      </c>
      <c r="M105" s="843">
        <f t="shared" si="61"/>
        <v>0</v>
      </c>
      <c r="N105" s="1082">
        <f t="shared" si="43"/>
        <v>0</v>
      </c>
      <c r="P105" s="1628"/>
      <c r="V105" s="487"/>
      <c r="W105" s="1621"/>
      <c r="X105" s="1622"/>
      <c r="Z105" s="289"/>
    </row>
    <row r="106" spans="1:26" ht="15.75" customHeight="1" thickBot="1">
      <c r="A106" s="27"/>
      <c r="B106" s="808"/>
      <c r="C106" s="1271"/>
      <c r="D106" s="114"/>
      <c r="E106" s="1552"/>
      <c r="F106" s="1553"/>
      <c r="G106" s="1553"/>
      <c r="H106" s="1553"/>
      <c r="I106" s="1553"/>
      <c r="J106" s="1553"/>
      <c r="K106" s="1553"/>
      <c r="L106" s="1553"/>
      <c r="M106" s="1554"/>
      <c r="N106" s="46"/>
      <c r="P106" s="1787" t="s">
        <v>652</v>
      </c>
      <c r="Q106" s="1788"/>
      <c r="R106" s="1788"/>
      <c r="S106" s="1788"/>
      <c r="T106" s="1788"/>
      <c r="U106" s="1788"/>
      <c r="V106" s="1789"/>
      <c r="W106" s="1841">
        <v>0</v>
      </c>
      <c r="X106" s="1815"/>
      <c r="Z106" s="289"/>
    </row>
    <row r="107" spans="1:26" ht="15.75" customHeight="1" thickBot="1">
      <c r="A107" s="850" t="s">
        <v>439</v>
      </c>
      <c r="B107" s="809" t="s">
        <v>1</v>
      </c>
      <c r="C107" s="1266">
        <v>7568000</v>
      </c>
      <c r="D107" s="100">
        <f>'Zdroje financování'!H45</f>
        <v>0</v>
      </c>
      <c r="E107" s="94">
        <f>'Zdroje financování'!H58</f>
        <v>0</v>
      </c>
      <c r="F107" s="94">
        <f>'Zdroje financování'!H71</f>
        <v>0</v>
      </c>
      <c r="G107" s="94">
        <f>'Zdroje financování'!H84</f>
        <v>0</v>
      </c>
      <c r="H107" s="94">
        <f>'Zdroje financování'!H97</f>
        <v>0</v>
      </c>
      <c r="I107" s="94">
        <f>'Zdroje financování'!H101</f>
        <v>0</v>
      </c>
      <c r="J107" s="94">
        <f>'Zdroje financování'!M58</f>
        <v>0</v>
      </c>
      <c r="K107" s="94">
        <f>'Zdroje financování'!N58</f>
        <v>0</v>
      </c>
      <c r="L107" s="94">
        <f>'Zdroje financování'!O58</f>
        <v>0</v>
      </c>
      <c r="M107" s="829">
        <f>'Zdroje financování'!R58</f>
        <v>0</v>
      </c>
      <c r="N107" s="1080">
        <f t="shared" si="43"/>
        <v>0</v>
      </c>
      <c r="P107" s="1790"/>
      <c r="Q107" s="1791"/>
      <c r="R107" s="1791"/>
      <c r="S107" s="1791"/>
      <c r="T107" s="1791"/>
      <c r="U107" s="1791"/>
      <c r="V107" s="1792"/>
      <c r="W107" s="1842"/>
      <c r="X107" s="1817"/>
      <c r="Z107" s="289"/>
    </row>
    <row r="108" spans="1:26" ht="15.75" customHeight="1" thickBot="1">
      <c r="A108" s="851"/>
      <c r="B108" s="812"/>
      <c r="C108" s="1276"/>
      <c r="D108" s="114"/>
      <c r="E108" s="46"/>
      <c r="F108" s="46"/>
      <c r="G108" s="46"/>
      <c r="H108" s="46"/>
      <c r="I108" s="46"/>
      <c r="J108" s="46"/>
      <c r="K108" s="46"/>
      <c r="L108" s="46"/>
      <c r="M108" s="834"/>
      <c r="N108" s="46"/>
      <c r="P108" s="1618"/>
      <c r="Q108" s="1615"/>
      <c r="R108" s="1615"/>
      <c r="S108" s="1615"/>
      <c r="T108" s="1615"/>
      <c r="U108" s="1615"/>
      <c r="V108" s="1244"/>
      <c r="W108" s="1619"/>
      <c r="X108" s="1620"/>
      <c r="Z108" s="289"/>
    </row>
    <row r="109" spans="1:26" ht="15.75" customHeight="1" thickBot="1">
      <c r="A109" s="1563" t="s">
        <v>702</v>
      </c>
      <c r="B109" s="809" t="s">
        <v>1</v>
      </c>
      <c r="C109" s="1266">
        <v>192000</v>
      </c>
      <c r="D109" s="104">
        <f>'Zdroje financování'!L42</f>
        <v>0</v>
      </c>
      <c r="E109" s="279">
        <f>'Zdroje financování'!F58</f>
        <v>0</v>
      </c>
      <c r="F109" s="279">
        <f>'Zdroje financování'!F71</f>
        <v>0</v>
      </c>
      <c r="G109" s="279">
        <f>'Zdroje financování'!F84</f>
        <v>0</v>
      </c>
      <c r="H109" s="279">
        <f>'Zdroje financování'!F97</f>
        <v>0</v>
      </c>
      <c r="I109" s="279">
        <f>'Zdroje financování'!F101</f>
        <v>0</v>
      </c>
      <c r="J109" s="279">
        <v>0</v>
      </c>
      <c r="K109" s="279">
        <f t="shared" ref="K109:M109" si="62">J109</f>
        <v>0</v>
      </c>
      <c r="L109" s="279">
        <f t="shared" si="62"/>
        <v>0</v>
      </c>
      <c r="M109" s="833">
        <f t="shared" si="62"/>
        <v>0</v>
      </c>
      <c r="N109" s="1081">
        <f t="shared" si="43"/>
        <v>0</v>
      </c>
      <c r="P109" s="1822" t="s">
        <v>653</v>
      </c>
      <c r="Q109" s="1823"/>
      <c r="R109" s="1823"/>
      <c r="S109" s="1823"/>
      <c r="T109" s="1823"/>
      <c r="U109" s="1823"/>
      <c r="V109" s="1824"/>
      <c r="W109" s="1820">
        <v>0</v>
      </c>
      <c r="X109" s="1821"/>
      <c r="Z109" s="289"/>
    </row>
    <row r="110" spans="1:26" ht="15.75" thickBot="1">
      <c r="A110" s="831"/>
      <c r="B110" s="806"/>
      <c r="C110" s="1273"/>
      <c r="D110" s="145"/>
      <c r="E110" s="1555"/>
      <c r="F110" s="1556"/>
      <c r="G110" s="1556"/>
      <c r="H110" s="1556"/>
      <c r="I110" s="1556"/>
      <c r="J110" s="1556"/>
      <c r="K110" s="1556"/>
      <c r="L110" s="1556"/>
      <c r="M110" s="1557"/>
      <c r="N110" s="150"/>
      <c r="P110" s="1629"/>
      <c r="Q110" s="1630"/>
      <c r="R110" s="1630"/>
      <c r="S110" s="1630"/>
      <c r="T110" s="1630"/>
      <c r="U110" s="1630"/>
      <c r="V110" s="1631"/>
      <c r="W110" s="1632"/>
      <c r="X110" s="1633"/>
      <c r="Z110" s="289"/>
    </row>
    <row r="111" spans="1:26" s="798" customFormat="1" ht="15.75" thickBot="1">
      <c r="A111" s="1280" t="s">
        <v>440</v>
      </c>
      <c r="B111" s="131" t="s">
        <v>1</v>
      </c>
      <c r="C111" s="1266">
        <f t="shared" ref="C111:M111" si="63">SUM(C69+C73+C75+C87+C89+C93+C95+C97+C99+C105)</f>
        <v>90296764.312399998</v>
      </c>
      <c r="D111" s="132">
        <f t="shared" si="63"/>
        <v>1408863.2064166665</v>
      </c>
      <c r="E111" s="134">
        <f t="shared" si="63"/>
        <v>14571455.500958333</v>
      </c>
      <c r="F111" s="134">
        <f t="shared" si="63"/>
        <v>14907220.548617916</v>
      </c>
      <c r="G111" s="134">
        <f t="shared" si="63"/>
        <v>15251324.401079074</v>
      </c>
      <c r="H111" s="134">
        <f t="shared" si="63"/>
        <v>15603982.904011065</v>
      </c>
      <c r="I111" s="134">
        <f t="shared" si="63"/>
        <v>15965423.866318533</v>
      </c>
      <c r="J111" s="134">
        <f t="shared" si="63"/>
        <v>16336779.03791292</v>
      </c>
      <c r="K111" s="134">
        <f t="shared" si="63"/>
        <v>16717123.763625752</v>
      </c>
      <c r="L111" s="134">
        <f t="shared" si="63"/>
        <v>17106686.245490126</v>
      </c>
      <c r="M111" s="842">
        <f t="shared" si="63"/>
        <v>17505700.705282621</v>
      </c>
      <c r="N111" s="287">
        <f t="shared" si="43"/>
        <v>145374560.17971301</v>
      </c>
      <c r="V111" s="3"/>
      <c r="W111" s="3"/>
      <c r="X111" s="3"/>
      <c r="Y111" s="3"/>
      <c r="Z111" s="1281"/>
    </row>
    <row r="113" spans="1:24" ht="18.75" customHeight="1" thickBot="1">
      <c r="A113" s="852" t="s">
        <v>340</v>
      </c>
      <c r="B113" s="758" t="s">
        <v>1</v>
      </c>
      <c r="C113" s="1266">
        <f>C111-C105</f>
        <v>82536764.312399998</v>
      </c>
      <c r="D113" s="759">
        <f>D111-D105</f>
        <v>1408863.2064166665</v>
      </c>
      <c r="E113" s="759">
        <f t="shared" ref="E113:M113" si="64">E111-E105</f>
        <v>14571455.500958333</v>
      </c>
      <c r="F113" s="759">
        <f t="shared" si="64"/>
        <v>14907220.548617916</v>
      </c>
      <c r="G113" s="759">
        <f t="shared" si="64"/>
        <v>15251324.401079074</v>
      </c>
      <c r="H113" s="759">
        <f t="shared" si="64"/>
        <v>15603982.904011065</v>
      </c>
      <c r="I113" s="759">
        <f t="shared" si="64"/>
        <v>15965423.866318533</v>
      </c>
      <c r="J113" s="759">
        <f t="shared" si="64"/>
        <v>16336779.03791292</v>
      </c>
      <c r="K113" s="759">
        <f t="shared" si="64"/>
        <v>16717123.763625752</v>
      </c>
      <c r="L113" s="759">
        <f t="shared" si="64"/>
        <v>17106686.245490126</v>
      </c>
      <c r="M113" s="1294">
        <f t="shared" si="64"/>
        <v>17505700.705282621</v>
      </c>
      <c r="N113" s="1082">
        <f t="shared" ref="N113" si="65">SUM(D113:M113)</f>
        <v>145374560.17971301</v>
      </c>
      <c r="P113" s="543" t="s">
        <v>169</v>
      </c>
      <c r="Q113" s="543"/>
      <c r="R113" s="543"/>
      <c r="S113" s="543"/>
      <c r="T113" s="543"/>
      <c r="U113" s="543"/>
      <c r="V113" s="543"/>
      <c r="W113" s="1818" t="e">
        <f>M115/M55</f>
        <v>#DIV/0!</v>
      </c>
      <c r="X113" s="1819"/>
    </row>
    <row r="114" spans="1:24" ht="15.75" thickBot="1">
      <c r="A114" s="27"/>
      <c r="D114" s="46"/>
      <c r="E114" s="46"/>
      <c r="F114" s="46"/>
      <c r="G114" s="46"/>
      <c r="H114" s="46"/>
      <c r="I114" s="46"/>
      <c r="J114" s="46"/>
      <c r="K114" s="46"/>
      <c r="L114" s="46"/>
      <c r="M114" s="538"/>
    </row>
    <row r="115" spans="1:24" ht="15.75" thickBot="1">
      <c r="A115" s="539"/>
      <c r="B115" s="1319" t="s">
        <v>341</v>
      </c>
      <c r="C115" s="1320"/>
      <c r="D115" s="1320"/>
      <c r="E115" s="1320"/>
      <c r="F115" s="1320"/>
      <c r="G115" s="1320"/>
      <c r="H115" s="1808">
        <f>M115-N105</f>
        <v>145374560.17971301</v>
      </c>
      <c r="I115" s="1809"/>
      <c r="J115" s="853"/>
      <c r="K115" s="1780" t="s">
        <v>173</v>
      </c>
      <c r="L115" s="1781"/>
      <c r="M115" s="870">
        <f>SUM(D111:M111)</f>
        <v>145374560.17971301</v>
      </c>
    </row>
    <row r="116" spans="1:24" ht="15.75" thickBot="1">
      <c r="A116" s="399"/>
      <c r="D116" s="46"/>
      <c r="E116" s="46"/>
      <c r="F116" s="46"/>
      <c r="G116" s="46"/>
      <c r="H116" s="46"/>
      <c r="I116" s="46"/>
      <c r="J116" s="46"/>
      <c r="K116" s="46"/>
      <c r="L116" s="149"/>
      <c r="M116" s="400"/>
    </row>
    <row r="117" spans="1:24" ht="15.75" thickBot="1">
      <c r="A117" s="1655" t="s">
        <v>127</v>
      </c>
      <c r="B117" s="1656" t="s">
        <v>130</v>
      </c>
      <c r="C117" s="1255">
        <v>2023</v>
      </c>
      <c r="D117" s="28">
        <v>2025</v>
      </c>
      <c r="E117" s="32">
        <v>2026</v>
      </c>
      <c r="F117" s="32">
        <v>2027</v>
      </c>
      <c r="G117" s="32">
        <v>2028</v>
      </c>
      <c r="H117" s="32">
        <v>2029</v>
      </c>
      <c r="I117" s="32">
        <v>2030</v>
      </c>
      <c r="J117" s="32">
        <v>2031</v>
      </c>
      <c r="K117" s="32">
        <v>2032</v>
      </c>
      <c r="L117" s="32">
        <v>2033</v>
      </c>
      <c r="M117" s="1657">
        <v>2034</v>
      </c>
      <c r="N117" s="433" t="s">
        <v>41</v>
      </c>
      <c r="O117" s="428" t="s">
        <v>41</v>
      </c>
    </row>
    <row r="118" spans="1:24">
      <c r="A118" s="1649" t="s">
        <v>128</v>
      </c>
      <c r="B118" s="283" t="s">
        <v>1</v>
      </c>
      <c r="C118" s="1256">
        <f>(C71*C70)</f>
        <v>22155999.359999999</v>
      </c>
      <c r="D118" s="284">
        <f t="shared" ref="D118:M118" si="66">D71*D70</f>
        <v>288250</v>
      </c>
      <c r="E118" s="285">
        <f t="shared" si="66"/>
        <v>3459000</v>
      </c>
      <c r="F118" s="285">
        <f t="shared" si="66"/>
        <v>3562770</v>
      </c>
      <c r="G118" s="285">
        <f t="shared" si="66"/>
        <v>3669653.0999999996</v>
      </c>
      <c r="H118" s="285">
        <f t="shared" si="66"/>
        <v>3779742.693</v>
      </c>
      <c r="I118" s="285">
        <f t="shared" si="66"/>
        <v>3893134.9737900002</v>
      </c>
      <c r="J118" s="285">
        <f t="shared" si="66"/>
        <v>4009929.0230037002</v>
      </c>
      <c r="K118" s="285">
        <f t="shared" si="66"/>
        <v>4130226.8936938113</v>
      </c>
      <c r="L118" s="285">
        <f t="shared" si="66"/>
        <v>4254133.7005046252</v>
      </c>
      <c r="M118" s="1640">
        <f t="shared" si="66"/>
        <v>4381757.7115197638</v>
      </c>
      <c r="N118" s="1080">
        <f>SUM(D118:M118)</f>
        <v>35428598.095511898</v>
      </c>
    </row>
    <row r="119" spans="1:24">
      <c r="A119" s="1649" t="s">
        <v>129</v>
      </c>
      <c r="B119" s="283" t="s">
        <v>1</v>
      </c>
      <c r="C119" s="1256">
        <f>(C72*C70)</f>
        <v>7533039.7824000008</v>
      </c>
      <c r="D119" s="284">
        <f t="shared" ref="D119:M119" si="67">D72*D70</f>
        <v>98005</v>
      </c>
      <c r="E119" s="285">
        <f t="shared" si="67"/>
        <v>1176060</v>
      </c>
      <c r="F119" s="285">
        <f t="shared" si="67"/>
        <v>1211341.8</v>
      </c>
      <c r="G119" s="285">
        <f t="shared" si="67"/>
        <v>1247682.054</v>
      </c>
      <c r="H119" s="285">
        <f t="shared" si="67"/>
        <v>1285112.5156200002</v>
      </c>
      <c r="I119" s="285">
        <f t="shared" si="67"/>
        <v>1323665.8910886003</v>
      </c>
      <c r="J119" s="285">
        <f t="shared" si="67"/>
        <v>1363375.867821258</v>
      </c>
      <c r="K119" s="285">
        <f t="shared" si="67"/>
        <v>1404277.1438558958</v>
      </c>
      <c r="L119" s="285">
        <f t="shared" si="67"/>
        <v>1446405.4581715728</v>
      </c>
      <c r="M119" s="1640">
        <f t="shared" si="67"/>
        <v>1489797.6219167197</v>
      </c>
      <c r="N119" s="1080">
        <f>SUM(D119:M119)</f>
        <v>12045723.352474045</v>
      </c>
      <c r="O119" s="1080">
        <f>N118+N119</f>
        <v>47474321.447985947</v>
      </c>
    </row>
    <row r="120" spans="1:24" ht="30.75" thickBot="1">
      <c r="A120" s="1650" t="s">
        <v>322</v>
      </c>
      <c r="B120" s="1651" t="s">
        <v>1</v>
      </c>
      <c r="C120" s="1652">
        <f>C69+C91+C97+C101+C105</f>
        <v>90296764.312399998</v>
      </c>
      <c r="D120" s="1653">
        <f>D69+D91+D97+D101+D105</f>
        <v>1408863.2064166665</v>
      </c>
      <c r="E120" s="1654">
        <f t="shared" ref="E120:M120" si="68">E69+E91+E97+E101+E103</f>
        <v>14571455.500958333</v>
      </c>
      <c r="F120" s="1654">
        <f t="shared" si="68"/>
        <v>14907220.548617916</v>
      </c>
      <c r="G120" s="1654">
        <f t="shared" si="68"/>
        <v>15251324.401079074</v>
      </c>
      <c r="H120" s="1654">
        <f t="shared" si="68"/>
        <v>15603982.904011065</v>
      </c>
      <c r="I120" s="1654">
        <f t="shared" si="68"/>
        <v>15965423.866318533</v>
      </c>
      <c r="J120" s="1654">
        <f t="shared" si="68"/>
        <v>16336779.03791292</v>
      </c>
      <c r="K120" s="1654">
        <f t="shared" si="68"/>
        <v>16717123.763625752</v>
      </c>
      <c r="L120" s="1654">
        <f t="shared" si="68"/>
        <v>17106686.245490123</v>
      </c>
      <c r="M120" s="1658">
        <f t="shared" si="68"/>
        <v>17505700.705282621</v>
      </c>
      <c r="N120" s="1082">
        <f>SUM(D120:M120)</f>
        <v>145374560.17971301</v>
      </c>
      <c r="O120" s="435" t="s">
        <v>117</v>
      </c>
    </row>
    <row r="121" spans="1:24">
      <c r="A121" s="27"/>
      <c r="D121" s="46"/>
      <c r="E121" s="46"/>
      <c r="F121" s="46"/>
      <c r="G121" s="46"/>
      <c r="H121" s="46"/>
      <c r="I121" s="46"/>
      <c r="J121" s="46"/>
      <c r="K121" s="46"/>
      <c r="L121" s="149"/>
      <c r="M121" s="3"/>
    </row>
    <row r="122" spans="1:24" ht="15.75" thickBot="1">
      <c r="A122" s="27"/>
      <c r="D122" s="46"/>
      <c r="E122" s="46"/>
      <c r="F122" s="46"/>
      <c r="G122" s="46"/>
      <c r="H122" s="46"/>
      <c r="I122" s="46"/>
      <c r="J122" s="46"/>
      <c r="K122" s="46"/>
      <c r="L122" s="149"/>
      <c r="M122" s="3"/>
    </row>
    <row r="123" spans="1:24" ht="19.5" thickBot="1">
      <c r="A123" s="854" t="s">
        <v>627</v>
      </c>
      <c r="B123" s="813"/>
      <c r="C123" s="813"/>
      <c r="D123" s="527"/>
      <c r="E123" s="527"/>
      <c r="F123" s="523"/>
      <c r="G123" s="523"/>
      <c r="H123" s="527"/>
      <c r="I123" s="527"/>
      <c r="J123" s="523"/>
      <c r="K123" s="523"/>
      <c r="L123" s="527"/>
      <c r="M123" s="528"/>
    </row>
    <row r="124" spans="1:24" ht="15.75" thickBot="1">
      <c r="A124" s="27"/>
      <c r="D124" s="46"/>
      <c r="E124" s="46"/>
      <c r="F124" s="46"/>
      <c r="G124" s="46"/>
      <c r="H124" s="46"/>
      <c r="I124" s="46"/>
      <c r="J124" s="46"/>
      <c r="K124" s="46"/>
      <c r="L124" s="46"/>
      <c r="M124" s="538"/>
    </row>
    <row r="125" spans="1:24">
      <c r="A125" s="815" t="s">
        <v>62</v>
      </c>
      <c r="B125" s="799" t="s">
        <v>14</v>
      </c>
      <c r="C125" s="1255">
        <v>2023</v>
      </c>
      <c r="D125" s="28">
        <v>2025</v>
      </c>
      <c r="E125" s="32">
        <v>2026</v>
      </c>
      <c r="F125" s="32">
        <v>2027</v>
      </c>
      <c r="G125" s="32">
        <v>2028</v>
      </c>
      <c r="H125" s="32">
        <v>2029</v>
      </c>
      <c r="I125" s="32">
        <v>2030</v>
      </c>
      <c r="J125" s="32">
        <v>2031</v>
      </c>
      <c r="K125" s="32">
        <v>2032</v>
      </c>
      <c r="L125" s="32">
        <v>2033</v>
      </c>
      <c r="M125" s="32">
        <v>2034</v>
      </c>
      <c r="N125" s="1852" t="s">
        <v>162</v>
      </c>
      <c r="O125" s="1853"/>
    </row>
    <row r="126" spans="1:24" ht="18.95" customHeight="1" thickBot="1">
      <c r="A126" s="875"/>
      <c r="B126" s="800"/>
      <c r="C126" s="1540" t="s">
        <v>534</v>
      </c>
      <c r="D126" s="872" t="s">
        <v>429</v>
      </c>
      <c r="E126" s="873" t="s">
        <v>40</v>
      </c>
      <c r="F126" s="873" t="s">
        <v>40</v>
      </c>
      <c r="G126" s="873" t="s">
        <v>40</v>
      </c>
      <c r="H126" s="873" t="s">
        <v>40</v>
      </c>
      <c r="I126" s="873" t="s">
        <v>40</v>
      </c>
      <c r="J126" s="873" t="s">
        <v>40</v>
      </c>
      <c r="K126" s="873" t="s">
        <v>40</v>
      </c>
      <c r="L126" s="873" t="s">
        <v>40</v>
      </c>
      <c r="M126" s="874" t="s">
        <v>40</v>
      </c>
    </row>
    <row r="127" spans="1:24" ht="16.5" thickBot="1">
      <c r="A127" s="857" t="s">
        <v>309</v>
      </c>
      <c r="B127" s="867" t="s">
        <v>2</v>
      </c>
      <c r="C127" s="1539" t="s">
        <v>622</v>
      </c>
      <c r="D127" s="1257" t="s">
        <v>430</v>
      </c>
      <c r="E127" s="1258">
        <v>12</v>
      </c>
      <c r="F127" s="1259">
        <v>12</v>
      </c>
      <c r="G127" s="1259">
        <v>12</v>
      </c>
      <c r="H127" s="1259">
        <v>12</v>
      </c>
      <c r="I127" s="1259">
        <v>12</v>
      </c>
      <c r="J127" s="1259">
        <v>12</v>
      </c>
      <c r="K127" s="1259">
        <v>12</v>
      </c>
      <c r="L127" s="1259">
        <v>12</v>
      </c>
      <c r="M127" s="1260">
        <v>12</v>
      </c>
    </row>
    <row r="129" spans="1:14" ht="15.75" thickBot="1">
      <c r="A129" s="29" t="s">
        <v>575</v>
      </c>
      <c r="B129" s="131" t="s">
        <v>1</v>
      </c>
      <c r="C129" s="1266">
        <f>C69-C9</f>
        <v>0</v>
      </c>
      <c r="D129" s="92">
        <f t="shared" ref="D129:M129" si="69">D69-D9</f>
        <v>386255</v>
      </c>
      <c r="E129" s="93">
        <f t="shared" si="69"/>
        <v>4635060</v>
      </c>
      <c r="F129" s="93">
        <f t="shared" si="69"/>
        <v>4774111.8000000007</v>
      </c>
      <c r="G129" s="93">
        <f t="shared" si="69"/>
        <v>4917335.1539999992</v>
      </c>
      <c r="H129" s="93">
        <f t="shared" si="69"/>
        <v>5064855.2086200006</v>
      </c>
      <c r="I129" s="93">
        <f t="shared" si="69"/>
        <v>5216800.8648786005</v>
      </c>
      <c r="J129" s="93">
        <f t="shared" si="69"/>
        <v>5373304.8908249587</v>
      </c>
      <c r="K129" s="93">
        <f t="shared" si="69"/>
        <v>5534504.0375497071</v>
      </c>
      <c r="L129" s="93">
        <f t="shared" si="69"/>
        <v>5700539.1586761987</v>
      </c>
      <c r="M129" s="817">
        <f t="shared" si="69"/>
        <v>5871555.3334364835</v>
      </c>
      <c r="N129" s="150">
        <f>SUM(D129:M129)</f>
        <v>47474321.447985947</v>
      </c>
    </row>
    <row r="130" spans="1:14">
      <c r="A130" s="818" t="s">
        <v>13</v>
      </c>
      <c r="B130" s="802" t="s">
        <v>12</v>
      </c>
      <c r="C130" s="1267">
        <f>C70-C10</f>
        <v>0</v>
      </c>
      <c r="D130" s="95">
        <f t="shared" ref="D130:M130" si="70">D70-D10</f>
        <v>12</v>
      </c>
      <c r="E130" s="97">
        <f t="shared" si="70"/>
        <v>12</v>
      </c>
      <c r="F130" s="97">
        <f t="shared" si="70"/>
        <v>12</v>
      </c>
      <c r="G130" s="97">
        <f t="shared" si="70"/>
        <v>12</v>
      </c>
      <c r="H130" s="97">
        <f t="shared" si="70"/>
        <v>12</v>
      </c>
      <c r="I130" s="97">
        <f t="shared" si="70"/>
        <v>12</v>
      </c>
      <c r="J130" s="97">
        <f t="shared" si="70"/>
        <v>12</v>
      </c>
      <c r="K130" s="97">
        <f t="shared" si="70"/>
        <v>12</v>
      </c>
      <c r="L130" s="97">
        <f t="shared" si="70"/>
        <v>12</v>
      </c>
      <c r="M130" s="819">
        <f t="shared" si="70"/>
        <v>12</v>
      </c>
      <c r="N130" s="46"/>
    </row>
    <row r="131" spans="1:14">
      <c r="A131" s="820" t="s">
        <v>60</v>
      </c>
      <c r="B131" s="40" t="s">
        <v>11</v>
      </c>
      <c r="C131" s="1267">
        <f>C71-C11</f>
        <v>0</v>
      </c>
      <c r="D131" s="95">
        <f t="shared" ref="D131:M131" si="71">D71-D11</f>
        <v>24020.833333333332</v>
      </c>
      <c r="E131" s="97">
        <f t="shared" si="71"/>
        <v>288250</v>
      </c>
      <c r="F131" s="97">
        <f t="shared" si="71"/>
        <v>296897.5</v>
      </c>
      <c r="G131" s="97">
        <f t="shared" si="71"/>
        <v>305804.42499999999</v>
      </c>
      <c r="H131" s="97">
        <f t="shared" si="71"/>
        <v>314978.55774999998</v>
      </c>
      <c r="I131" s="97">
        <f t="shared" si="71"/>
        <v>324427.9144825</v>
      </c>
      <c r="J131" s="97">
        <f t="shared" si="71"/>
        <v>334160.75191697502</v>
      </c>
      <c r="K131" s="97">
        <f t="shared" si="71"/>
        <v>344185.57447448425</v>
      </c>
      <c r="L131" s="97">
        <f t="shared" si="71"/>
        <v>354511.14170871879</v>
      </c>
      <c r="M131" s="819">
        <f t="shared" si="71"/>
        <v>365146.47595998034</v>
      </c>
      <c r="N131" s="46"/>
    </row>
    <row r="132" spans="1:14" ht="15.75" thickBot="1">
      <c r="A132" s="27" t="s">
        <v>61</v>
      </c>
      <c r="B132" s="40" t="s">
        <v>11</v>
      </c>
      <c r="C132" s="1267">
        <f>C72-C12</f>
        <v>0</v>
      </c>
      <c r="D132" s="95">
        <f t="shared" ref="D132:M132" si="72">D72-D12</f>
        <v>8167.0833333333339</v>
      </c>
      <c r="E132" s="97">
        <f t="shared" si="72"/>
        <v>98005</v>
      </c>
      <c r="F132" s="97">
        <f t="shared" si="72"/>
        <v>100945.15000000001</v>
      </c>
      <c r="G132" s="97">
        <f t="shared" si="72"/>
        <v>103973.50450000001</v>
      </c>
      <c r="H132" s="97">
        <f t="shared" si="72"/>
        <v>107092.70963500001</v>
      </c>
      <c r="I132" s="97">
        <f t="shared" si="72"/>
        <v>110305.49092405001</v>
      </c>
      <c r="J132" s="97">
        <f t="shared" si="72"/>
        <v>113614.65565177151</v>
      </c>
      <c r="K132" s="97">
        <f t="shared" si="72"/>
        <v>117023.09532132465</v>
      </c>
      <c r="L132" s="97">
        <f t="shared" si="72"/>
        <v>120533.7881809644</v>
      </c>
      <c r="M132" s="819">
        <f t="shared" si="72"/>
        <v>124149.80182639332</v>
      </c>
      <c r="N132" s="46"/>
    </row>
    <row r="133" spans="1:14" ht="15.75" thickBot="1">
      <c r="A133" s="29" t="s">
        <v>103</v>
      </c>
      <c r="B133" s="131" t="s">
        <v>1</v>
      </c>
      <c r="C133" s="1266">
        <f>C73-C13</f>
        <v>0</v>
      </c>
      <c r="D133" s="100">
        <f t="shared" ref="D133:M133" si="73">D73-D13</f>
        <v>761968.68666666665</v>
      </c>
      <c r="E133" s="93">
        <f t="shared" si="73"/>
        <v>9143624.2400000002</v>
      </c>
      <c r="F133" s="93">
        <f t="shared" si="73"/>
        <v>9326496.7248</v>
      </c>
      <c r="G133" s="93">
        <f t="shared" si="73"/>
        <v>9513026.6592960004</v>
      </c>
      <c r="H133" s="93">
        <f t="shared" si="73"/>
        <v>9703287.1924819201</v>
      </c>
      <c r="I133" s="93">
        <f t="shared" si="73"/>
        <v>9897352.936331559</v>
      </c>
      <c r="J133" s="93">
        <f t="shared" si="73"/>
        <v>10095299.99505819</v>
      </c>
      <c r="K133" s="93">
        <f t="shared" si="73"/>
        <v>10297205.994959354</v>
      </c>
      <c r="L133" s="93">
        <f t="shared" si="73"/>
        <v>10503150.114858542</v>
      </c>
      <c r="M133" s="817">
        <f t="shared" si="73"/>
        <v>10713213.117155712</v>
      </c>
      <c r="N133" s="150">
        <f t="shared" ref="N133:N171" si="74">SUM(D133:M133)</f>
        <v>89954625.661607951</v>
      </c>
    </row>
    <row r="134" spans="1:14" ht="15.75" thickBot="1">
      <c r="A134" s="30"/>
      <c r="B134" s="803"/>
      <c r="C134" s="1562"/>
      <c r="D134" s="101"/>
      <c r="E134" s="102"/>
      <c r="F134" s="103"/>
      <c r="G134" s="103"/>
      <c r="H134" s="103"/>
      <c r="I134" s="103"/>
      <c r="J134" s="103"/>
      <c r="K134" s="103"/>
      <c r="L134" s="103"/>
      <c r="M134" s="822"/>
      <c r="N134" s="46"/>
    </row>
    <row r="135" spans="1:14" ht="15.75" thickBot="1">
      <c r="A135" s="29" t="s">
        <v>92</v>
      </c>
      <c r="B135" s="131" t="s">
        <v>1</v>
      </c>
      <c r="C135" s="1266">
        <f>C75-C15</f>
        <v>0</v>
      </c>
      <c r="D135" s="104">
        <f t="shared" ref="D135:M135" si="75">D75-D15</f>
        <v>43378.531249999993</v>
      </c>
      <c r="E135" s="93">
        <f t="shared" si="75"/>
        <v>520542.375</v>
      </c>
      <c r="F135" s="93">
        <f t="shared" si="75"/>
        <v>532560.84899999993</v>
      </c>
      <c r="G135" s="93">
        <f t="shared" si="75"/>
        <v>544867.92127499997</v>
      </c>
      <c r="H135" s="93">
        <f t="shared" si="75"/>
        <v>557470.81065434997</v>
      </c>
      <c r="I135" s="93">
        <f t="shared" si="75"/>
        <v>570376.92374990252</v>
      </c>
      <c r="J135" s="93">
        <f t="shared" si="75"/>
        <v>583593.86001383991</v>
      </c>
      <c r="K135" s="93">
        <f t="shared" si="75"/>
        <v>597129.41693672456</v>
      </c>
      <c r="L135" s="93">
        <f t="shared" si="75"/>
        <v>610991.59538974497</v>
      </c>
      <c r="M135" s="817">
        <f t="shared" si="75"/>
        <v>625188.60511525418</v>
      </c>
      <c r="N135" s="150">
        <f t="shared" si="74"/>
        <v>5186100.8883848162</v>
      </c>
    </row>
    <row r="136" spans="1:14" ht="15.75" thickBot="1">
      <c r="A136" s="31"/>
      <c r="B136" s="801"/>
      <c r="C136" s="1533"/>
      <c r="D136" s="286"/>
      <c r="E136" s="460"/>
      <c r="F136" s="461"/>
      <c r="G136" s="461"/>
      <c r="H136" s="461"/>
      <c r="I136" s="461"/>
      <c r="J136" s="461"/>
      <c r="K136" s="461"/>
      <c r="L136" s="461"/>
      <c r="M136" s="823"/>
      <c r="N136" s="46"/>
    </row>
    <row r="137" spans="1:14">
      <c r="A137" s="824" t="s">
        <v>10</v>
      </c>
      <c r="B137" s="804" t="s">
        <v>1</v>
      </c>
      <c r="C137" s="1270">
        <f>C77-C17</f>
        <v>0</v>
      </c>
      <c r="D137" s="464">
        <f t="shared" ref="D137:M137" si="76">D77-D17</f>
        <v>26922.356249999997</v>
      </c>
      <c r="E137" s="465">
        <f t="shared" si="76"/>
        <v>323068.27499999997</v>
      </c>
      <c r="F137" s="465">
        <f t="shared" si="76"/>
        <v>329529.64049999998</v>
      </c>
      <c r="G137" s="465">
        <f t="shared" si="76"/>
        <v>336120.23330999998</v>
      </c>
      <c r="H137" s="465">
        <f t="shared" si="76"/>
        <v>342842.63797619997</v>
      </c>
      <c r="I137" s="465">
        <f t="shared" si="76"/>
        <v>349699.49073572399</v>
      </c>
      <c r="J137" s="465">
        <f t="shared" si="76"/>
        <v>356693.48055043846</v>
      </c>
      <c r="K137" s="465">
        <f t="shared" si="76"/>
        <v>363827.35016144725</v>
      </c>
      <c r="L137" s="465">
        <f t="shared" si="76"/>
        <v>371103.89716467622</v>
      </c>
      <c r="M137" s="672">
        <f t="shared" si="76"/>
        <v>378525.97510796977</v>
      </c>
      <c r="N137" s="46"/>
    </row>
    <row r="138" spans="1:14">
      <c r="A138" s="820"/>
      <c r="B138" s="40"/>
      <c r="C138" s="1268"/>
      <c r="D138" s="105"/>
      <c r="E138" s="108"/>
      <c r="F138" s="109"/>
      <c r="G138" s="109"/>
      <c r="H138" s="109"/>
      <c r="I138" s="109"/>
      <c r="J138" s="109"/>
      <c r="K138" s="109"/>
      <c r="L138" s="109"/>
      <c r="M138" s="826"/>
      <c r="N138" s="46"/>
    </row>
    <row r="139" spans="1:14">
      <c r="A139" s="827" t="s">
        <v>0</v>
      </c>
      <c r="B139" s="805" t="s">
        <v>1</v>
      </c>
      <c r="C139" s="1537">
        <f>C79-C19</f>
        <v>0</v>
      </c>
      <c r="D139" s="105">
        <f t="shared" ref="D139:M139" si="77">D79-D19</f>
        <v>10904.6875</v>
      </c>
      <c r="E139" s="106">
        <f t="shared" si="77"/>
        <v>130856.25</v>
      </c>
      <c r="F139" s="106">
        <f t="shared" si="77"/>
        <v>134781.9375</v>
      </c>
      <c r="G139" s="106">
        <f t="shared" si="77"/>
        <v>138825.395625</v>
      </c>
      <c r="H139" s="106">
        <f t="shared" si="77"/>
        <v>142990.15749375001</v>
      </c>
      <c r="I139" s="106">
        <f t="shared" si="77"/>
        <v>147279.86221856251</v>
      </c>
      <c r="J139" s="106">
        <f t="shared" si="77"/>
        <v>151698.25808511939</v>
      </c>
      <c r="K139" s="106">
        <f t="shared" si="77"/>
        <v>156249.20582767297</v>
      </c>
      <c r="L139" s="106">
        <f t="shared" si="77"/>
        <v>160936.68200250316</v>
      </c>
      <c r="M139" s="848">
        <f t="shared" si="77"/>
        <v>165764.78246257827</v>
      </c>
      <c r="N139" s="46"/>
    </row>
    <row r="140" spans="1:14">
      <c r="A140" s="820"/>
      <c r="B140" s="40"/>
      <c r="C140" s="1268"/>
      <c r="D140" s="105"/>
      <c r="E140" s="108"/>
      <c r="F140" s="109"/>
      <c r="G140" s="109"/>
      <c r="H140" s="109"/>
      <c r="I140" s="109"/>
      <c r="J140" s="109"/>
      <c r="K140" s="109"/>
      <c r="L140" s="109"/>
      <c r="M140" s="826"/>
      <c r="N140" s="46"/>
    </row>
    <row r="141" spans="1:14">
      <c r="A141" s="827" t="s">
        <v>9</v>
      </c>
      <c r="B141" s="805" t="s">
        <v>1</v>
      </c>
      <c r="C141" s="1537">
        <f>C81-C21</f>
        <v>0</v>
      </c>
      <c r="D141" s="105">
        <f t="shared" ref="D141:M141" si="78">D81-D21</f>
        <v>0</v>
      </c>
      <c r="E141" s="106">
        <f t="shared" si="78"/>
        <v>0</v>
      </c>
      <c r="F141" s="106">
        <f t="shared" si="78"/>
        <v>0</v>
      </c>
      <c r="G141" s="106">
        <f t="shared" si="78"/>
        <v>0</v>
      </c>
      <c r="H141" s="106">
        <f t="shared" si="78"/>
        <v>0</v>
      </c>
      <c r="I141" s="106">
        <f t="shared" si="78"/>
        <v>0</v>
      </c>
      <c r="J141" s="106">
        <f t="shared" si="78"/>
        <v>0</v>
      </c>
      <c r="K141" s="106">
        <f t="shared" si="78"/>
        <v>0</v>
      </c>
      <c r="L141" s="106">
        <f t="shared" si="78"/>
        <v>0</v>
      </c>
      <c r="M141" s="848">
        <f t="shared" si="78"/>
        <v>0</v>
      </c>
      <c r="N141" s="46"/>
    </row>
    <row r="142" spans="1:14">
      <c r="A142" s="820"/>
      <c r="B142" s="40"/>
      <c r="C142" s="1532"/>
      <c r="D142" s="105"/>
      <c r="E142" s="108"/>
      <c r="F142" s="109"/>
      <c r="G142" s="109"/>
      <c r="H142" s="109"/>
      <c r="I142" s="109"/>
      <c r="J142" s="109"/>
      <c r="K142" s="109"/>
      <c r="L142" s="109"/>
      <c r="M142" s="826"/>
      <c r="N142" s="46"/>
    </row>
    <row r="143" spans="1:14">
      <c r="A143" s="827" t="s">
        <v>8</v>
      </c>
      <c r="B143" s="805" t="s">
        <v>1</v>
      </c>
      <c r="C143" s="1537">
        <f>C83-C23</f>
        <v>0</v>
      </c>
      <c r="D143" s="105">
        <f t="shared" ref="D143:M143" si="79">D83-D23</f>
        <v>2492.2000000000003</v>
      </c>
      <c r="E143" s="106">
        <f t="shared" si="79"/>
        <v>29906.400000000001</v>
      </c>
      <c r="F143" s="106">
        <f t="shared" si="79"/>
        <v>30803.592000000001</v>
      </c>
      <c r="G143" s="106">
        <f t="shared" si="79"/>
        <v>31727.699760000003</v>
      </c>
      <c r="H143" s="106">
        <f t="shared" si="79"/>
        <v>32679.530752800005</v>
      </c>
      <c r="I143" s="106">
        <f t="shared" si="79"/>
        <v>33659.916675384004</v>
      </c>
      <c r="J143" s="106">
        <f t="shared" si="79"/>
        <v>34669.714175645524</v>
      </c>
      <c r="K143" s="106">
        <f t="shared" si="79"/>
        <v>35709.805600914893</v>
      </c>
      <c r="L143" s="106">
        <f t="shared" si="79"/>
        <v>36781.099768942338</v>
      </c>
      <c r="M143" s="848">
        <f t="shared" si="79"/>
        <v>37884.532762010611</v>
      </c>
      <c r="N143" s="46"/>
    </row>
    <row r="145" spans="1:14">
      <c r="A145" s="827" t="s">
        <v>7</v>
      </c>
      <c r="B145" s="805" t="s">
        <v>1</v>
      </c>
      <c r="C145" s="1537">
        <f>C85-C25</f>
        <v>0</v>
      </c>
      <c r="D145" s="105">
        <f t="shared" ref="D145:M145" si="80">D85-D25</f>
        <v>3059.2875000000004</v>
      </c>
      <c r="E145" s="106">
        <f t="shared" si="80"/>
        <v>36711.450000000004</v>
      </c>
      <c r="F145" s="106">
        <f t="shared" si="80"/>
        <v>37445.679000000004</v>
      </c>
      <c r="G145" s="106">
        <f t="shared" si="80"/>
        <v>38194.592580000004</v>
      </c>
      <c r="H145" s="106">
        <f t="shared" si="80"/>
        <v>38958.484431600002</v>
      </c>
      <c r="I145" s="106">
        <f t="shared" si="80"/>
        <v>39737.654120232</v>
      </c>
      <c r="J145" s="106">
        <f t="shared" si="80"/>
        <v>40532.407202636641</v>
      </c>
      <c r="K145" s="106">
        <f t="shared" si="80"/>
        <v>41343.055346689376</v>
      </c>
      <c r="L145" s="106">
        <f t="shared" si="80"/>
        <v>42169.916453623162</v>
      </c>
      <c r="M145" s="848">
        <f t="shared" si="80"/>
        <v>43013.314782695626</v>
      </c>
      <c r="N145" s="46"/>
    </row>
    <row r="146" spans="1:14" ht="15.75" thickBot="1">
      <c r="A146" s="30"/>
      <c r="B146" s="803"/>
      <c r="C146" s="1269"/>
      <c r="D146" s="110"/>
      <c r="E146" s="111"/>
      <c r="F146" s="112"/>
      <c r="G146" s="112"/>
      <c r="H146" s="112"/>
      <c r="I146" s="112"/>
      <c r="J146" s="112"/>
      <c r="K146" s="112"/>
      <c r="L146" s="112"/>
      <c r="M146" s="692"/>
      <c r="N146" s="46"/>
    </row>
    <row r="147" spans="1:14" ht="15.75" thickBot="1">
      <c r="A147" s="29" t="s">
        <v>6</v>
      </c>
      <c r="B147" s="131" t="s">
        <v>5</v>
      </c>
      <c r="C147" s="1266">
        <f>C87-C27</f>
        <v>0</v>
      </c>
      <c r="D147" s="100">
        <f t="shared" ref="D147:M147" si="81">D87-D27</f>
        <v>0</v>
      </c>
      <c r="E147" s="93">
        <f t="shared" si="81"/>
        <v>0</v>
      </c>
      <c r="F147" s="93">
        <f t="shared" si="81"/>
        <v>0</v>
      </c>
      <c r="G147" s="93">
        <f t="shared" si="81"/>
        <v>0</v>
      </c>
      <c r="H147" s="93">
        <f t="shared" si="81"/>
        <v>0</v>
      </c>
      <c r="I147" s="93">
        <f t="shared" si="81"/>
        <v>0</v>
      </c>
      <c r="J147" s="93">
        <f t="shared" si="81"/>
        <v>0</v>
      </c>
      <c r="K147" s="93">
        <f t="shared" si="81"/>
        <v>0</v>
      </c>
      <c r="L147" s="93">
        <f t="shared" si="81"/>
        <v>0</v>
      </c>
      <c r="M147" s="817">
        <f t="shared" si="81"/>
        <v>0</v>
      </c>
      <c r="N147" s="46"/>
    </row>
    <row r="148" spans="1:14" ht="15.75" thickBot="1">
      <c r="A148" s="30"/>
      <c r="B148" s="803"/>
      <c r="C148" s="1269"/>
      <c r="D148" s="101"/>
      <c r="E148" s="102"/>
      <c r="F148" s="103"/>
      <c r="G148" s="103"/>
      <c r="H148" s="103"/>
      <c r="I148" s="103"/>
      <c r="J148" s="103"/>
      <c r="K148" s="103"/>
      <c r="L148" s="103"/>
      <c r="M148" s="822"/>
      <c r="N148" s="150"/>
    </row>
    <row r="149" spans="1:14" ht="15.75" thickBot="1">
      <c r="A149" s="29" t="s">
        <v>4</v>
      </c>
      <c r="B149" s="131" t="s">
        <v>1</v>
      </c>
      <c r="C149" s="1266">
        <f>C89-C29</f>
        <v>0</v>
      </c>
      <c r="D149" s="100">
        <f t="shared" ref="D149:M149" si="82">D89-D29</f>
        <v>0</v>
      </c>
      <c r="E149" s="113">
        <f t="shared" si="82"/>
        <v>20097.023958333335</v>
      </c>
      <c r="F149" s="113">
        <f t="shared" si="82"/>
        <v>20297.994197916669</v>
      </c>
      <c r="G149" s="113">
        <f t="shared" si="82"/>
        <v>20703.954081875003</v>
      </c>
      <c r="H149" s="113">
        <f t="shared" si="82"/>
        <v>21325.072704331254</v>
      </c>
      <c r="I149" s="113">
        <f t="shared" si="82"/>
        <v>22178.075612504505</v>
      </c>
      <c r="J149" s="113">
        <f t="shared" si="82"/>
        <v>24178.075612504505</v>
      </c>
      <c r="K149" s="113">
        <f t="shared" si="82"/>
        <v>26178.075612504505</v>
      </c>
      <c r="L149" s="113">
        <f t="shared" si="82"/>
        <v>28178.075612504505</v>
      </c>
      <c r="M149" s="830">
        <f t="shared" si="82"/>
        <v>30178.075612504505</v>
      </c>
      <c r="N149" s="150">
        <f t="shared" si="74"/>
        <v>213314.42300497877</v>
      </c>
    </row>
    <row r="150" spans="1:14" ht="15.75" thickBot="1">
      <c r="A150" s="31"/>
      <c r="B150" s="801"/>
      <c r="C150" s="1533"/>
      <c r="D150" s="114"/>
      <c r="E150" s="46"/>
      <c r="F150" s="46"/>
      <c r="G150" s="46"/>
      <c r="H150" s="46"/>
      <c r="I150" s="46"/>
      <c r="J150" s="46"/>
      <c r="K150" s="46"/>
      <c r="L150" s="46"/>
      <c r="M150" s="834"/>
      <c r="N150" s="46"/>
    </row>
    <row r="151" spans="1:14" ht="15.75" thickBot="1">
      <c r="A151" s="29" t="s">
        <v>574</v>
      </c>
      <c r="B151" s="131" t="s">
        <v>126</v>
      </c>
      <c r="C151" s="1266">
        <f>C91-C31</f>
        <v>0</v>
      </c>
      <c r="D151" s="100">
        <f>D133+D135+D147+D149</f>
        <v>805347.21791666665</v>
      </c>
      <c r="E151" s="113">
        <f>E133+E135+E147+E149</f>
        <v>9684263.6389583331</v>
      </c>
      <c r="F151" s="279">
        <f t="shared" ref="F151:M151" si="83">F133+F135+F147+F149</f>
        <v>9879355.5679979157</v>
      </c>
      <c r="G151" s="279">
        <f t="shared" si="83"/>
        <v>10078598.534652874</v>
      </c>
      <c r="H151" s="279">
        <f t="shared" si="83"/>
        <v>10282083.075840602</v>
      </c>
      <c r="I151" s="279">
        <f t="shared" si="83"/>
        <v>10489907.935693966</v>
      </c>
      <c r="J151" s="279">
        <f t="shared" si="83"/>
        <v>10703071.930684535</v>
      </c>
      <c r="K151" s="279">
        <f t="shared" si="83"/>
        <v>10920513.487508584</v>
      </c>
      <c r="L151" s="279">
        <f t="shared" si="83"/>
        <v>11142319.78586079</v>
      </c>
      <c r="M151" s="833">
        <f t="shared" si="83"/>
        <v>11368579.79788347</v>
      </c>
      <c r="N151" s="150">
        <f t="shared" ref="N151" si="84">SUM(D151:M151)</f>
        <v>95354040.97299774</v>
      </c>
    </row>
    <row r="152" spans="1:14" ht="15.75" thickBot="1">
      <c r="A152" s="31"/>
      <c r="B152" s="801"/>
      <c r="C152" s="1533"/>
      <c r="D152" s="114"/>
      <c r="E152" s="46"/>
      <c r="F152" s="46"/>
      <c r="G152" s="46"/>
      <c r="H152" s="46"/>
      <c r="I152" s="46"/>
      <c r="J152" s="46"/>
      <c r="K152" s="46"/>
      <c r="L152" s="46"/>
      <c r="M152" s="834"/>
      <c r="N152" s="46"/>
    </row>
    <row r="153" spans="1:14" ht="15.75" thickBot="1">
      <c r="A153" s="835" t="s">
        <v>94</v>
      </c>
      <c r="B153" s="131" t="s">
        <v>1</v>
      </c>
      <c r="C153" s="1266">
        <f>C93-C33</f>
        <v>0</v>
      </c>
      <c r="D153" s="115">
        <f t="shared" ref="D153:M153" si="85">D93-D33</f>
        <v>200000</v>
      </c>
      <c r="E153" s="116">
        <f t="shared" si="85"/>
        <v>0</v>
      </c>
      <c r="F153" s="116">
        <f t="shared" si="85"/>
        <v>0</v>
      </c>
      <c r="G153" s="116">
        <f t="shared" si="85"/>
        <v>0</v>
      </c>
      <c r="H153" s="116">
        <f t="shared" si="85"/>
        <v>0</v>
      </c>
      <c r="I153" s="116">
        <f t="shared" si="85"/>
        <v>0</v>
      </c>
      <c r="J153" s="116">
        <f t="shared" si="85"/>
        <v>0</v>
      </c>
      <c r="K153" s="116">
        <f t="shared" si="85"/>
        <v>0</v>
      </c>
      <c r="L153" s="116">
        <f t="shared" si="85"/>
        <v>0</v>
      </c>
      <c r="M153" s="849">
        <f t="shared" si="85"/>
        <v>0</v>
      </c>
      <c r="N153" s="150">
        <f t="shared" si="74"/>
        <v>200000</v>
      </c>
    </row>
    <row r="154" spans="1:14" ht="15.75" thickBot="1">
      <c r="A154" s="30"/>
      <c r="B154" s="803"/>
      <c r="C154" s="1269"/>
      <c r="D154" s="44"/>
      <c r="E154" s="466"/>
      <c r="F154" s="467"/>
      <c r="G154" s="467"/>
      <c r="H154" s="467"/>
      <c r="I154" s="467"/>
      <c r="J154" s="467"/>
      <c r="K154" s="467"/>
      <c r="L154" s="467"/>
      <c r="M154" s="855"/>
      <c r="N154" s="46"/>
    </row>
    <row r="155" spans="1:14" ht="30.75" thickBot="1">
      <c r="A155" s="835" t="s">
        <v>578</v>
      </c>
      <c r="B155" s="131" t="s">
        <v>1</v>
      </c>
      <c r="C155" s="1266">
        <f>C95-C35</f>
        <v>0</v>
      </c>
      <c r="D155" s="115">
        <f t="shared" ref="D155:M155" si="86">D95-D35</f>
        <v>13510.988499999999</v>
      </c>
      <c r="E155" s="116">
        <f t="shared" si="86"/>
        <v>162131.86199999999</v>
      </c>
      <c r="F155" s="116">
        <f t="shared" si="86"/>
        <v>163753.18062</v>
      </c>
      <c r="G155" s="116">
        <f t="shared" si="86"/>
        <v>165390.71242620001</v>
      </c>
      <c r="H155" s="116">
        <f t="shared" si="86"/>
        <v>167044.61955046203</v>
      </c>
      <c r="I155" s="116">
        <f t="shared" si="86"/>
        <v>168715.06574596665</v>
      </c>
      <c r="J155" s="116">
        <f t="shared" si="86"/>
        <v>170402.21640342631</v>
      </c>
      <c r="K155" s="116">
        <f t="shared" si="86"/>
        <v>172106.23856746059</v>
      </c>
      <c r="L155" s="116">
        <f t="shared" si="86"/>
        <v>173827.30095313519</v>
      </c>
      <c r="M155" s="849">
        <f t="shared" si="86"/>
        <v>175565.57396266653</v>
      </c>
      <c r="N155" s="150">
        <f t="shared" si="74"/>
        <v>1532447.7587293172</v>
      </c>
    </row>
    <row r="156" spans="1:14" ht="15.75" thickBot="1">
      <c r="A156" s="31"/>
      <c r="B156" s="801"/>
      <c r="C156" s="1533"/>
      <c r="D156" s="1484"/>
      <c r="E156" s="1484"/>
      <c r="F156" s="1484"/>
      <c r="G156" s="1484"/>
      <c r="H156" s="1484"/>
      <c r="I156" s="1484"/>
      <c r="J156" s="1484"/>
      <c r="K156" s="1484"/>
      <c r="L156" s="1484"/>
      <c r="M156" s="1484"/>
      <c r="N156" s="1483"/>
    </row>
    <row r="157" spans="1:14" ht="15.75" thickBot="1">
      <c r="A157" s="839" t="s">
        <v>579</v>
      </c>
      <c r="B157" s="135" t="s">
        <v>1</v>
      </c>
      <c r="C157" s="1274">
        <f>C97-C37</f>
        <v>0</v>
      </c>
      <c r="D157" s="115">
        <f t="shared" ref="D157:M157" si="87">D97-D37</f>
        <v>3750</v>
      </c>
      <c r="E157" s="116">
        <f t="shared" si="87"/>
        <v>45000</v>
      </c>
      <c r="F157" s="116">
        <f t="shared" si="87"/>
        <v>45000</v>
      </c>
      <c r="G157" s="116">
        <f t="shared" si="87"/>
        <v>45000</v>
      </c>
      <c r="H157" s="116">
        <f t="shared" si="87"/>
        <v>45000</v>
      </c>
      <c r="I157" s="116">
        <f t="shared" si="87"/>
        <v>45000</v>
      </c>
      <c r="J157" s="116">
        <f t="shared" si="87"/>
        <v>45000</v>
      </c>
      <c r="K157" s="116">
        <f t="shared" si="87"/>
        <v>45000</v>
      </c>
      <c r="L157" s="116">
        <f t="shared" si="87"/>
        <v>45000</v>
      </c>
      <c r="M157" s="849">
        <f t="shared" si="87"/>
        <v>45000</v>
      </c>
      <c r="N157" s="150">
        <f t="shared" si="74"/>
        <v>408750</v>
      </c>
    </row>
    <row r="158" spans="1:14" ht="15.75" thickBot="1">
      <c r="A158" s="31"/>
      <c r="B158" s="807"/>
      <c r="C158" s="1535"/>
      <c r="D158" s="118"/>
      <c r="E158" s="119"/>
      <c r="F158" s="119"/>
      <c r="G158" s="119"/>
      <c r="H158" s="119"/>
      <c r="I158" s="119"/>
      <c r="J158" s="119"/>
      <c r="K158" s="119"/>
      <c r="L158" s="119"/>
      <c r="M158" s="840"/>
      <c r="N158" s="46"/>
    </row>
    <row r="159" spans="1:14" ht="15.75" thickBot="1">
      <c r="A159" s="29" t="s">
        <v>3</v>
      </c>
      <c r="B159" s="131" t="s">
        <v>1</v>
      </c>
      <c r="C159" s="1266">
        <f>C99-C39</f>
        <v>0</v>
      </c>
      <c r="D159" s="100">
        <f t="shared" ref="D159:M159" si="88">D99-D39</f>
        <v>0</v>
      </c>
      <c r="E159" s="93">
        <f t="shared" si="88"/>
        <v>45000</v>
      </c>
      <c r="F159" s="93">
        <f t="shared" si="88"/>
        <v>45000</v>
      </c>
      <c r="G159" s="93">
        <f t="shared" si="88"/>
        <v>45000</v>
      </c>
      <c r="H159" s="93">
        <f t="shared" si="88"/>
        <v>45000</v>
      </c>
      <c r="I159" s="93">
        <f t="shared" si="88"/>
        <v>45000</v>
      </c>
      <c r="J159" s="93">
        <f t="shared" si="88"/>
        <v>45000</v>
      </c>
      <c r="K159" s="93">
        <f t="shared" si="88"/>
        <v>45000</v>
      </c>
      <c r="L159" s="93">
        <f t="shared" si="88"/>
        <v>45000</v>
      </c>
      <c r="M159" s="817">
        <f t="shared" si="88"/>
        <v>45000</v>
      </c>
      <c r="N159" s="150">
        <f t="shared" si="74"/>
        <v>405000</v>
      </c>
    </row>
    <row r="161" spans="1:15" ht="15.75" thickBot="1">
      <c r="A161" s="29" t="s">
        <v>628</v>
      </c>
      <c r="B161" s="131" t="s">
        <v>126</v>
      </c>
      <c r="C161" s="1266">
        <f>C101-C41</f>
        <v>0</v>
      </c>
      <c r="D161" s="100">
        <f>D153+D155+D159</f>
        <v>213510.98850000001</v>
      </c>
      <c r="E161" s="94">
        <f>E153+E155+E159</f>
        <v>207131.86199999999</v>
      </c>
      <c r="F161" s="94">
        <f t="shared" ref="F161:M161" si="89">F153+F155+F159</f>
        <v>208753.18062</v>
      </c>
      <c r="G161" s="94">
        <f t="shared" si="89"/>
        <v>210390.71242620001</v>
      </c>
      <c r="H161" s="94">
        <f t="shared" si="89"/>
        <v>212044.61955046203</v>
      </c>
      <c r="I161" s="94">
        <f t="shared" si="89"/>
        <v>213715.06574596665</v>
      </c>
      <c r="J161" s="94">
        <f t="shared" si="89"/>
        <v>215402.21640342631</v>
      </c>
      <c r="K161" s="94">
        <f t="shared" si="89"/>
        <v>217106.23856746059</v>
      </c>
      <c r="L161" s="94">
        <f t="shared" si="89"/>
        <v>218827.30095313519</v>
      </c>
      <c r="M161" s="829">
        <f t="shared" si="89"/>
        <v>220565.57396266653</v>
      </c>
      <c r="N161" s="150">
        <f t="shared" ref="N161" si="90">SUM(D161:M161)</f>
        <v>2137447.7587293172</v>
      </c>
    </row>
    <row r="162" spans="1:15" ht="15.75" thickBot="1">
      <c r="A162" s="27"/>
      <c r="B162" s="808"/>
      <c r="C162" s="1536"/>
      <c r="D162" s="114"/>
      <c r="E162" s="46"/>
      <c r="F162" s="46"/>
      <c r="G162" s="46"/>
      <c r="H162" s="46"/>
      <c r="I162" s="46"/>
      <c r="J162" s="46"/>
      <c r="K162" s="46"/>
      <c r="L162" s="46"/>
      <c r="M162" s="834"/>
      <c r="N162" s="46"/>
    </row>
    <row r="163" spans="1:15" ht="15.75" thickBot="1">
      <c r="A163" s="29" t="s">
        <v>580</v>
      </c>
      <c r="B163" s="131" t="s">
        <v>1</v>
      </c>
      <c r="C163" s="1266">
        <f>C103-C43</f>
        <v>0</v>
      </c>
      <c r="D163" s="132">
        <f t="shared" ref="D163:M163" si="91">D103-D43</f>
        <v>0</v>
      </c>
      <c r="E163" s="133">
        <f t="shared" si="91"/>
        <v>0</v>
      </c>
      <c r="F163" s="133">
        <f t="shared" si="91"/>
        <v>0</v>
      </c>
      <c r="G163" s="133">
        <f t="shared" si="91"/>
        <v>0</v>
      </c>
      <c r="H163" s="133">
        <f t="shared" si="91"/>
        <v>0</v>
      </c>
      <c r="I163" s="133">
        <f t="shared" si="91"/>
        <v>0</v>
      </c>
      <c r="J163" s="133">
        <f t="shared" si="91"/>
        <v>0</v>
      </c>
      <c r="K163" s="133">
        <f t="shared" si="91"/>
        <v>0</v>
      </c>
      <c r="L163" s="133">
        <f t="shared" si="91"/>
        <v>0</v>
      </c>
      <c r="M163" s="843">
        <f t="shared" si="91"/>
        <v>0</v>
      </c>
      <c r="N163" s="150">
        <f t="shared" si="74"/>
        <v>0</v>
      </c>
    </row>
    <row r="164" spans="1:15" ht="15.75" thickBot="1">
      <c r="A164" s="27"/>
      <c r="B164" s="808"/>
      <c r="C164" s="1536"/>
      <c r="D164" s="114"/>
      <c r="E164" s="46"/>
      <c r="F164" s="46"/>
      <c r="G164" s="46"/>
      <c r="H164" s="46"/>
      <c r="I164" s="46"/>
      <c r="J164" s="46"/>
      <c r="K164" s="46"/>
      <c r="L164" s="46"/>
      <c r="M164" s="834"/>
      <c r="N164" s="46"/>
    </row>
    <row r="165" spans="1:15" ht="15.75" customHeight="1" thickBot="1">
      <c r="A165" s="29" t="s">
        <v>581</v>
      </c>
      <c r="B165" s="131" t="s">
        <v>1</v>
      </c>
      <c r="C165" s="1266">
        <f>C105-C45</f>
        <v>0</v>
      </c>
      <c r="D165" s="132">
        <f t="shared" ref="D165:M165" si="92">D105-D45</f>
        <v>0</v>
      </c>
      <c r="E165" s="133">
        <f t="shared" si="92"/>
        <v>0</v>
      </c>
      <c r="F165" s="133">
        <f t="shared" si="92"/>
        <v>0</v>
      </c>
      <c r="G165" s="133">
        <f t="shared" si="92"/>
        <v>0</v>
      </c>
      <c r="H165" s="133">
        <f t="shared" si="92"/>
        <v>0</v>
      </c>
      <c r="I165" s="133">
        <f t="shared" si="92"/>
        <v>0</v>
      </c>
      <c r="J165" s="133">
        <f t="shared" si="92"/>
        <v>0</v>
      </c>
      <c r="K165" s="133">
        <f t="shared" si="92"/>
        <v>0</v>
      </c>
      <c r="L165" s="133">
        <f t="shared" si="92"/>
        <v>0</v>
      </c>
      <c r="M165" s="843">
        <f t="shared" si="92"/>
        <v>0</v>
      </c>
      <c r="N165" s="150">
        <f t="shared" si="74"/>
        <v>0</v>
      </c>
    </row>
    <row r="166" spans="1:15" ht="15.75" thickBot="1">
      <c r="A166" s="27"/>
      <c r="B166" s="808"/>
      <c r="C166" s="1536"/>
      <c r="D166" s="114"/>
      <c r="E166" s="46"/>
      <c r="F166" s="46"/>
      <c r="G166" s="46"/>
      <c r="H166" s="46"/>
      <c r="I166" s="46"/>
      <c r="J166" s="46"/>
      <c r="K166" s="46"/>
      <c r="L166" s="46"/>
      <c r="M166" s="834"/>
      <c r="N166" s="46"/>
    </row>
    <row r="167" spans="1:15" ht="15.75" thickBot="1">
      <c r="A167" s="850" t="s">
        <v>582</v>
      </c>
      <c r="B167" s="809" t="s">
        <v>1</v>
      </c>
      <c r="C167" s="1266">
        <f>C107-C47</f>
        <v>0</v>
      </c>
      <c r="D167" s="100">
        <f t="shared" ref="D167:M167" si="93">D107-D47</f>
        <v>0</v>
      </c>
      <c r="E167" s="94">
        <f t="shared" si="93"/>
        <v>0</v>
      </c>
      <c r="F167" s="94">
        <f t="shared" si="93"/>
        <v>0</v>
      </c>
      <c r="G167" s="94">
        <f t="shared" si="93"/>
        <v>0</v>
      </c>
      <c r="H167" s="94">
        <f t="shared" si="93"/>
        <v>0</v>
      </c>
      <c r="I167" s="94">
        <f t="shared" si="93"/>
        <v>0</v>
      </c>
      <c r="J167" s="94">
        <f t="shared" si="93"/>
        <v>0</v>
      </c>
      <c r="K167" s="94">
        <f t="shared" si="93"/>
        <v>0</v>
      </c>
      <c r="L167" s="94">
        <f t="shared" si="93"/>
        <v>0</v>
      </c>
      <c r="M167" s="829">
        <f t="shared" si="93"/>
        <v>0</v>
      </c>
      <c r="N167" s="150">
        <f t="shared" si="74"/>
        <v>0</v>
      </c>
    </row>
    <row r="168" spans="1:15" ht="15.75" thickBot="1">
      <c r="A168" s="851"/>
      <c r="B168" s="812"/>
      <c r="C168" s="1561"/>
      <c r="D168" s="114"/>
      <c r="E168" s="46"/>
      <c r="F168" s="46"/>
      <c r="G168" s="46"/>
      <c r="H168" s="46"/>
      <c r="I168" s="46"/>
      <c r="J168" s="46"/>
      <c r="K168" s="46"/>
      <c r="L168" s="46"/>
      <c r="M168" s="834"/>
      <c r="N168" s="46"/>
    </row>
    <row r="169" spans="1:15" ht="15.75" customHeight="1" thickBot="1">
      <c r="A169" s="1563" t="s">
        <v>702</v>
      </c>
      <c r="B169" s="809" t="s">
        <v>1</v>
      </c>
      <c r="C169" s="1266">
        <f>C109-C49</f>
        <v>0</v>
      </c>
      <c r="D169" s="104">
        <f t="shared" ref="D169:M169" si="94">D109-D49</f>
        <v>0</v>
      </c>
      <c r="E169" s="279">
        <f t="shared" si="94"/>
        <v>0</v>
      </c>
      <c r="F169" s="279">
        <f t="shared" si="94"/>
        <v>0</v>
      </c>
      <c r="G169" s="279">
        <f t="shared" si="94"/>
        <v>0</v>
      </c>
      <c r="H169" s="279">
        <f t="shared" si="94"/>
        <v>0</v>
      </c>
      <c r="I169" s="279">
        <f t="shared" si="94"/>
        <v>0</v>
      </c>
      <c r="J169" s="279">
        <f t="shared" si="94"/>
        <v>0</v>
      </c>
      <c r="K169" s="279">
        <f t="shared" si="94"/>
        <v>0</v>
      </c>
      <c r="L169" s="279">
        <f t="shared" si="94"/>
        <v>0</v>
      </c>
      <c r="M169" s="833">
        <f t="shared" si="94"/>
        <v>0</v>
      </c>
      <c r="N169" s="795">
        <f t="shared" si="74"/>
        <v>0</v>
      </c>
    </row>
    <row r="170" spans="1:15" ht="15.75" thickBot="1">
      <c r="A170" s="831"/>
      <c r="B170" s="806"/>
      <c r="C170" s="1534"/>
      <c r="D170" s="145"/>
      <c r="E170" s="146"/>
      <c r="F170" s="146"/>
      <c r="G170" s="146"/>
      <c r="H170" s="146"/>
      <c r="I170" s="146"/>
      <c r="J170" s="146"/>
      <c r="K170" s="146"/>
      <c r="L170" s="146"/>
      <c r="M170" s="841"/>
      <c r="N170" s="46"/>
    </row>
    <row r="171" spans="1:15" ht="15.75" thickBot="1">
      <c r="A171" s="29" t="s">
        <v>342</v>
      </c>
      <c r="B171" s="131" t="s">
        <v>1</v>
      </c>
      <c r="C171" s="1266">
        <f>C113-C53</f>
        <v>0</v>
      </c>
      <c r="D171" s="104">
        <f t="shared" ref="D171:M171" si="95">D111-D51</f>
        <v>1408863.2064166665</v>
      </c>
      <c r="E171" s="94">
        <f t="shared" si="95"/>
        <v>14571455.500958333</v>
      </c>
      <c r="F171" s="94">
        <f t="shared" si="95"/>
        <v>14907220.548617916</v>
      </c>
      <c r="G171" s="94">
        <f t="shared" si="95"/>
        <v>15251324.401079074</v>
      </c>
      <c r="H171" s="94">
        <f t="shared" si="95"/>
        <v>15603982.904011065</v>
      </c>
      <c r="I171" s="94">
        <f t="shared" si="95"/>
        <v>15965423.866318533</v>
      </c>
      <c r="J171" s="94">
        <f t="shared" si="95"/>
        <v>16336779.03791292</v>
      </c>
      <c r="K171" s="94">
        <f t="shared" si="95"/>
        <v>16717123.763625752</v>
      </c>
      <c r="L171" s="94">
        <f t="shared" si="95"/>
        <v>17106686.245490126</v>
      </c>
      <c r="M171" s="829">
        <f t="shared" si="95"/>
        <v>17505700.705282621</v>
      </c>
      <c r="N171" s="1082">
        <f t="shared" si="74"/>
        <v>145374560.17971301</v>
      </c>
    </row>
    <row r="172" spans="1:15" ht="15.75" thickBot="1">
      <c r="A172" s="27"/>
      <c r="D172" s="1485"/>
      <c r="E172" s="1485"/>
      <c r="F172" s="1485"/>
      <c r="G172" s="1485"/>
      <c r="H172" s="1485"/>
      <c r="I172" s="1485"/>
      <c r="J172" s="1485"/>
      <c r="K172" s="1485"/>
      <c r="L172" s="1485"/>
      <c r="M172" s="1485"/>
      <c r="N172" s="1483"/>
    </row>
    <row r="173" spans="1:15" ht="15.75" thickBot="1">
      <c r="A173" s="27"/>
      <c r="B173" s="1775" t="s">
        <v>341</v>
      </c>
      <c r="C173" s="1776"/>
      <c r="D173" s="1776"/>
      <c r="E173" s="1776"/>
      <c r="F173" s="1776"/>
      <c r="G173" s="1776"/>
      <c r="H173" s="1777"/>
      <c r="I173" s="868">
        <f>M173-N165</f>
        <v>145374560.17971301</v>
      </c>
      <c r="J173" s="46"/>
      <c r="K173" s="1778" t="s">
        <v>173</v>
      </c>
      <c r="L173" s="1779"/>
      <c r="M173" s="869">
        <f>SUM(D171:M171)</f>
        <v>145374560.17971301</v>
      </c>
    </row>
    <row r="174" spans="1:15" ht="15.75" thickBot="1">
      <c r="A174" s="27"/>
      <c r="D174" s="3"/>
      <c r="E174" s="3"/>
      <c r="F174" s="3"/>
      <c r="G174" s="3"/>
      <c r="H174" s="3"/>
      <c r="I174" s="3"/>
      <c r="J174" s="3"/>
      <c r="K174" s="3"/>
      <c r="L174" s="3"/>
      <c r="M174" s="538"/>
    </row>
    <row r="175" spans="1:15" ht="15.75" thickBot="1">
      <c r="A175" s="1655" t="s">
        <v>127</v>
      </c>
      <c r="B175" s="1656" t="s">
        <v>130</v>
      </c>
      <c r="C175" s="1659">
        <v>2023</v>
      </c>
      <c r="D175" s="1660">
        <v>2025</v>
      </c>
      <c r="E175" s="1661">
        <v>2026</v>
      </c>
      <c r="F175" s="1661">
        <v>2027</v>
      </c>
      <c r="G175" s="1661">
        <v>2028</v>
      </c>
      <c r="H175" s="1661">
        <v>2029</v>
      </c>
      <c r="I175" s="1661">
        <v>2030</v>
      </c>
      <c r="J175" s="1661">
        <v>2031</v>
      </c>
      <c r="K175" s="1661">
        <v>2032</v>
      </c>
      <c r="L175" s="1661">
        <v>2033</v>
      </c>
      <c r="M175" s="1662">
        <v>2034</v>
      </c>
      <c r="N175" s="433" t="s">
        <v>41</v>
      </c>
      <c r="O175" s="428" t="s">
        <v>41</v>
      </c>
    </row>
    <row r="176" spans="1:15">
      <c r="A176" s="1649" t="s">
        <v>576</v>
      </c>
      <c r="B176" s="283" t="s">
        <v>1</v>
      </c>
      <c r="C176" s="1256"/>
      <c r="D176" s="284">
        <f t="shared" ref="D176:M176" si="96">D118-D58</f>
        <v>288250</v>
      </c>
      <c r="E176" s="285">
        <f t="shared" si="96"/>
        <v>3459000</v>
      </c>
      <c r="F176" s="285">
        <f t="shared" si="96"/>
        <v>3562770</v>
      </c>
      <c r="G176" s="285">
        <f t="shared" si="96"/>
        <v>3669653.0999999996</v>
      </c>
      <c r="H176" s="285">
        <f t="shared" si="96"/>
        <v>3779742.693</v>
      </c>
      <c r="I176" s="285">
        <f t="shared" si="96"/>
        <v>3893134.9737900002</v>
      </c>
      <c r="J176" s="285">
        <f t="shared" si="96"/>
        <v>4009929.0230037002</v>
      </c>
      <c r="K176" s="285">
        <f t="shared" si="96"/>
        <v>4130226.8936938113</v>
      </c>
      <c r="L176" s="285">
        <f t="shared" si="96"/>
        <v>4254133.7005046252</v>
      </c>
      <c r="M176" s="1663">
        <f t="shared" si="96"/>
        <v>4381757.7115197638</v>
      </c>
      <c r="N176" s="150">
        <f>SUM(D176:M176)</f>
        <v>35428598.095511898</v>
      </c>
    </row>
    <row r="177" spans="1:15">
      <c r="A177" s="1649" t="s">
        <v>577</v>
      </c>
      <c r="B177" s="283" t="s">
        <v>1</v>
      </c>
      <c r="C177" s="1256"/>
      <c r="D177" s="284">
        <f t="shared" ref="D177:M177" si="97">D119-D59</f>
        <v>98005</v>
      </c>
      <c r="E177" s="285">
        <f t="shared" si="97"/>
        <v>1176060</v>
      </c>
      <c r="F177" s="285">
        <f t="shared" si="97"/>
        <v>1211341.8</v>
      </c>
      <c r="G177" s="285">
        <f t="shared" si="97"/>
        <v>1247682.054</v>
      </c>
      <c r="H177" s="285">
        <f t="shared" si="97"/>
        <v>1285112.5156200002</v>
      </c>
      <c r="I177" s="285">
        <f t="shared" si="97"/>
        <v>1323665.8910886003</v>
      </c>
      <c r="J177" s="285">
        <f t="shared" si="97"/>
        <v>1363375.867821258</v>
      </c>
      <c r="K177" s="285">
        <f t="shared" si="97"/>
        <v>1404277.1438558958</v>
      </c>
      <c r="L177" s="285">
        <f t="shared" si="97"/>
        <v>1446405.4581715728</v>
      </c>
      <c r="M177" s="1663">
        <f t="shared" si="97"/>
        <v>1489797.6219167197</v>
      </c>
      <c r="N177" s="150">
        <f>SUM(D177:M177)</f>
        <v>12045723.352474045</v>
      </c>
      <c r="O177" s="149">
        <f>N176+N177</f>
        <v>47474321.447985947</v>
      </c>
    </row>
    <row r="178" spans="1:15" ht="30.75" thickBot="1">
      <c r="A178" s="1650" t="s">
        <v>322</v>
      </c>
      <c r="B178" s="1651" t="s">
        <v>1</v>
      </c>
      <c r="C178" s="1664"/>
      <c r="D178" s="1653">
        <f>D129+D151+D157+D161+D163</f>
        <v>1408863.2064166665</v>
      </c>
      <c r="E178" s="1654">
        <f>E129+E151+E157+E161+E163</f>
        <v>14571455.500958333</v>
      </c>
      <c r="F178" s="1654">
        <f t="shared" ref="F178:M178" si="98">F129+F151+F157+F161+F163</f>
        <v>14907220.548617916</v>
      </c>
      <c r="G178" s="1654">
        <f t="shared" si="98"/>
        <v>15251324.401079074</v>
      </c>
      <c r="H178" s="1654">
        <f t="shared" si="98"/>
        <v>15603982.904011065</v>
      </c>
      <c r="I178" s="1654">
        <f t="shared" si="98"/>
        <v>15965423.866318533</v>
      </c>
      <c r="J178" s="1654">
        <f t="shared" si="98"/>
        <v>16336779.03791292</v>
      </c>
      <c r="K178" s="1654">
        <f t="shared" si="98"/>
        <v>16717123.763625752</v>
      </c>
      <c r="L178" s="1654">
        <f t="shared" si="98"/>
        <v>17106686.245490123</v>
      </c>
      <c r="M178" s="1665">
        <f t="shared" si="98"/>
        <v>17505700.705282621</v>
      </c>
      <c r="N178" s="287">
        <f>SUM(D178:M178)</f>
        <v>145374560.17971301</v>
      </c>
      <c r="O178" s="435" t="s">
        <v>117</v>
      </c>
    </row>
    <row r="179" spans="1:15"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5">
      <c r="A180" s="330" t="s">
        <v>671</v>
      </c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5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5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5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5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5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5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5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5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5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5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5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5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3:13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3:13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3:13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3:13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3:13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3:13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3:13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3:13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3:13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3:13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3:13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3:13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3:13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3:13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3:13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3:13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3:13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3:13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3:13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3:13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3:13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3:13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3:13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3:13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3:13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3:13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3:13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3:13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3:13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3:13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3:13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3:13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3:13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3:13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3:13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3:13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3:13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3:13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3:13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3:13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3:13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3:13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3:13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3:13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3:13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3:13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3:13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3:13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3:13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3:13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3:13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3:13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3:13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3:13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3:13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3:13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3:13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3:13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3:13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3:13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3:13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3:13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3:13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3:13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3:13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3:13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3:13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3:13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3:13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3:13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3:13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3:13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3:13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3:13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3:13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3:13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3:13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3:13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3:13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3:13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3:13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3:13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3:13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3:13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3:13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3:13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3:13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3:13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3:13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3:13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3:13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3:13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3:13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3:13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3:13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3:13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3:13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3:13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3:13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3:13"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3:13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3:13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3:13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3:13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3:13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3:13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3:13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3:13"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3:13"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3:13"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3:13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3:13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3:13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3:13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3:13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3:13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3:13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3:13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3:13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3:13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3:13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3:13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3:13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3:13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3:13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3:13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3:13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3:13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3:13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3:13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3:13"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3:13"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3:13"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3:13"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3:13"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3:13"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3:13"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3:13"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3:13"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3:13"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3:13"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3:13"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3:13"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3:13"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3:13"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3:13"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3:13"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3:13"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3:13"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3:13"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3:13"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3:13"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3:13"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3:13"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3:13"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3:13"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3:13"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3:13"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3:13"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3:13"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3:13"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3:13"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3:13"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3:13"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3:13"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3:13"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3:13"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3:13"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3:13"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3:13"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3:13"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3:13"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3:13"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3:13"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3:13"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3:13"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3:13"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3:13"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3:13"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3:13"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3:13"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3:13"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3:13"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3:13"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3:13"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3:13"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3:13"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3:13"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3:13"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3:13"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3:13"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3:13"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3:13"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3:13"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3:13"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3:13"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3:13"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3:13"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3:13"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3:13"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3:13"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3:13"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3:13"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3:13"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3:13"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3:13"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3:13"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3:13"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3:13"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3:13"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3:13"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3:13"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3:13"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3:13"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3:13"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3:13"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3:13"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3:13"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3:13"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3:13"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3:13"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3:13"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3:13"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3:13"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3:13"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3:13"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3:13"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3:13"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3:13"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3:13"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3:13"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3:13"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3:13"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3:13"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3:13"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3:13"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3:13"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3:13"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3:13"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3:13"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3:13"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3:13"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3:13"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3:13"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3:13"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3:13"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3:13"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3:13"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3:13"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3:13"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3:13"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3:13"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3:13"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3:13"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3:13"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3:13"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3:13"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3:13"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3:13"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3:13"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3:13"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3:13"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3:13"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3:13"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3:13"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3:13"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3:13"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3:13"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3:13"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3:13"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3:13"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3:13"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3:13"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3:13"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3:13"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3:13"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3:13"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3:13"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3:13"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3:13"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3:13"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3:13"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3:13"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3:13"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3:13"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3:13"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3:13"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3:13"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3:13"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3:13"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3:13"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3:13"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3:13"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3:13"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3:13"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3:13"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3:13"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3:13"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3:13"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3:13"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3:13"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3:13"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3:13"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3:13"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3:13"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3:13"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3:13"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3:13"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3:13"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3:13"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3:13"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3:13"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3:13"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3:13"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3:13"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3:13"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3:13"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3:13"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3:13"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3:13"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3:13"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3:13"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3:13"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3:13"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3:13"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3:13"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3:13"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3:13"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3:13"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3:13"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3:13"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3:13"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3:13"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3:13"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3:13"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3:13"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3:13"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3:13"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3:13"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3:13"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3:13"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3:13"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3:13"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3:13"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3:13"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3:13"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3:13"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3:13"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3:13"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3:13"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3:13"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3:13"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3:13"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3:13"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3:13"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3:13"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3:13"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3:13"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3:13"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3:13"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3:13"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3:13"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3:13"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3:13"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3:13"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3:13"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3:13"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3:13"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3:13"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3:13"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3:13"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3:13"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3:13"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3:13"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3:13"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3:13"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3:13"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3:13"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3:13"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3:13"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3:13"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3:13"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3:13"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3:13"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3:13"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3:13"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3:13"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3:13"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3:13"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3:13"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3:13"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3:13"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3:13"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3:13"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3:13"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3:13"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3:13"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3:13"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3:13"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3:13"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3:13"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3:13"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3:13"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3:13"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3:13"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3:13"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3:13"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3:13"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3:13"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3:13"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3:13"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3:13"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3:13"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3:13"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3:13"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3:13"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3:13"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3:13"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3:13"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3:13"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3:13"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3:13"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3:13"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3:13"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3:13"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3:13"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3:13"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3:13"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3:13"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3:13"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3:13"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3:13"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3:13"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3:13"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3:13"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3:13"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3:13"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3:13"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3:13"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3:13"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3:13"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3:13"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3:13"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3:13"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3:13"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3:13"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3:13"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3:13"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3:13"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3:13"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3:13"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3:13"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3:13"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3:13"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3:13"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3:13"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3:13"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3:13"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3:13"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3:13"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3:13"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3:13"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3:13"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3:13"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3:13"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3:13"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3:13"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3:13"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3:13"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3:13"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3:13"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3:13"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3:13"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3:13"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3:13"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3:13"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3:13"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3:13"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3:13"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3:13"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3:13"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3:13"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3:13"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3:13"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3:13"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3:13"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3:13"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3:13"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3:13"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3:13"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3:13"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3:13"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3:13"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3:13"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3:13"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3:13"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3:13"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3:13"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3:13"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3:13"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3:13"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3:13"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3:13"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3:13"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3:13"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3:13"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3:13"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3:13"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3:13"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3:13"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3:13"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3:13"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3:13"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3:13"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3:13"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3:13"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3:13"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3:13"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3:13"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3:13"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3:13"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3:13"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3:13"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3:13"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3:13"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3:13"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3:13"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3:13"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3:13"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3:13"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3:13"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3:13"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3:13"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3:13"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3:13"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3:13"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3:13"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3:13"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3:13"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3:13"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3:13"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3:13"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3:13"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3:13"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3:13"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3:13"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3:13"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3:13"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3:13"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3:13"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3:13"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3:13"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3:13"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3:13"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3:13"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3:13"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3:13"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3:13"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3:13"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3:13"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3:13"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3:13"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3:13"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3:13"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3:13"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3:13"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3:13"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3:13"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3:13"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3:13"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3:13"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3:13"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3:13"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3:13"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3:13"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3:13"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3:13"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3:13"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3:13"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3:13"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3:13"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3:13"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3:13"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3:13"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3:13"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3:13"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3:13"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3:13"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3:13"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3:13"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3:13"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3:13"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3:13"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3:13"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3:13"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3:13"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3:13"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3:13"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3:13"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3:13"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3:13"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3:13"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3:13"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3:13"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3:13"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3:13"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3:13"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3:13"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3:13"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3:13"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3:13"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3:13"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3:13"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3:13"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3:13"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3:13"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3:13"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3:13"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3:13"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3:13"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3:13"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3:13"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3:13"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3:13"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3:13"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3:13"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3:13"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3:13"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3:13"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3:13"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3:13"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3:13"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3:13"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3:13"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3:13"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3:13"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3:13"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3:13"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3:13"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3:13"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3:13"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3:13"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3:13"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3:13"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3:13"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3:13"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3:13"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3:13"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3:13"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3:13"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3:13"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3:13"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3:13"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3:13"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3:13"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3:13"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3:13"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3:13"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3:13"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3:13"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3:13"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3:13"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3:13"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3:13"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3:13"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3:13"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3:13"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3:13"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3:13"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3:13"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3:13"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3:13"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3:13"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3:13"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3:13"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3:13"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3:13"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3:13"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3:13"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3:13"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3:13"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3:13"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3:13"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3:13"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3:13"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3:13"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3:13"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3:13"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3:13"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3:13"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3:13"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3:13"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3:13"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3:13"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3:13"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3:13"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3:13"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3:13"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3:13"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3:13"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3:13"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3:13"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3:13"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3:13"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3:13"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3:13"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3:13"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3:13"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3:13"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3:13"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3:13"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3:13"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3:13"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3:13"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3:13"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3:13"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3:13"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3:13"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3:13"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3:13"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3:13"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3:13"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3:13"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3:13"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3:13"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3:13"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3:13"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3:13"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3:13"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3:13"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3:13"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3:13"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3:13"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3:13"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3:13"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3:13"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3:13"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3:13"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3:13"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3:13"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3:13"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3:13"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3:13"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3:13"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3:13"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3:13"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3:13"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3:13"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3:13"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3:13"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3:13"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3:13"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3:13"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3:13"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3:13"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3:13"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3:13"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3:13"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3:13"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3:13"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3:13"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3:13"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3:13"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3:13"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3:13"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3:13"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3:13"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3:13"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3:13"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3:13"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3:13"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3:13"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3:13"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3:13"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3:13"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3:13"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3:13"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3:13"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3:13"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3:13"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3:13"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3:13"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3:13"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3:13"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3:13"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3:13"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3:13"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3:13"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3:13"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3:13"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3:13"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3:13"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3:13"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3:13"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3:13"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3:13"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3:13"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3:13"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3:13"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3:13"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3:13"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3:13"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3:13"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3:13"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3:13"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3:13"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3:13"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3:13"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3:13"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  <row r="1002" spans="3:13"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  <row r="1003" spans="3:13"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</row>
    <row r="1004" spans="3:13"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</row>
    <row r="1005" spans="3:13"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</row>
    <row r="1006" spans="3:13"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</row>
    <row r="1007" spans="3:13"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</row>
    <row r="1008" spans="3:13"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</row>
    <row r="1009" spans="3:13"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</row>
    <row r="1010" spans="3:13"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</row>
    <row r="1011" spans="3:13"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</row>
    <row r="1012" spans="3:13"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</row>
    <row r="1013" spans="3:13"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</row>
    <row r="1014" spans="3:13"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</row>
    <row r="1015" spans="3:13"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</row>
    <row r="1016" spans="3:13"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</row>
    <row r="1017" spans="3:13"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</row>
    <row r="1018" spans="3:13"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</row>
    <row r="1019" spans="3:13"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</row>
    <row r="1020" spans="3:13"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</row>
    <row r="1021" spans="3:13"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</row>
    <row r="1022" spans="3:13"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</row>
    <row r="1023" spans="3:13"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</row>
    <row r="1024" spans="3:13"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</row>
    <row r="1025" spans="3:13"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</row>
    <row r="1026" spans="3:13"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</row>
    <row r="1027" spans="3:13"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</row>
    <row r="1028" spans="3:13"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</row>
    <row r="1029" spans="3:13"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</row>
    <row r="1030" spans="3:13"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</row>
    <row r="1031" spans="3:13"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</row>
    <row r="1032" spans="3:13"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</row>
    <row r="1033" spans="3:13"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</row>
    <row r="1034" spans="3:13"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</row>
    <row r="1035" spans="3:13"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</row>
    <row r="1036" spans="3:13"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</row>
    <row r="1037" spans="3:13"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</row>
    <row r="1038" spans="3:13"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</row>
    <row r="1039" spans="3:13"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</row>
    <row r="1040" spans="3:13"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</row>
    <row r="1041" spans="3:13"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</row>
    <row r="1042" spans="3:13"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</row>
    <row r="1043" spans="3:13"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</row>
    <row r="1044" spans="3:13"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</row>
    <row r="1045" spans="3:13"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</row>
    <row r="1046" spans="3:13"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</row>
    <row r="1047" spans="3:13"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</row>
    <row r="1048" spans="3:13"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</row>
    <row r="1049" spans="3:13"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</row>
    <row r="1050" spans="3:13"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</row>
    <row r="1051" spans="3:13"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</row>
    <row r="1052" spans="3:13"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</row>
    <row r="1053" spans="3:13"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</row>
    <row r="1054" spans="3:13"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</row>
    <row r="1055" spans="3:13"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</row>
    <row r="1056" spans="3:13"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</row>
    <row r="1057" spans="3:13"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</row>
    <row r="1058" spans="3:13"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</row>
    <row r="1059" spans="3:13"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</row>
    <row r="1060" spans="3:13"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</row>
    <row r="1061" spans="3:13"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</row>
    <row r="1062" spans="3:13"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</row>
    <row r="1063" spans="3:13"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</row>
    <row r="1064" spans="3:13"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</row>
    <row r="1065" spans="3:13"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</row>
    <row r="1066" spans="3:13"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</row>
    <row r="1067" spans="3:13"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</row>
    <row r="1068" spans="3:13"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</row>
    <row r="1069" spans="3:13"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</row>
    <row r="1070" spans="3:13"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</row>
    <row r="1071" spans="3:13"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</row>
    <row r="1072" spans="3:13"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</row>
    <row r="1073" spans="3:13"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</row>
    <row r="1074" spans="3:13"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</row>
    <row r="1075" spans="3:13"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</row>
    <row r="1076" spans="3:13"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</row>
    <row r="1077" spans="3:13"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</row>
    <row r="1078" spans="3:13"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</row>
    <row r="1079" spans="3:13"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</row>
    <row r="1080" spans="3:13"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</row>
    <row r="1081" spans="3:13"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</row>
    <row r="1082" spans="3:13"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</row>
    <row r="1083" spans="3:13"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</row>
    <row r="1084" spans="3:13"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</row>
    <row r="1085" spans="3:13"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</row>
    <row r="1086" spans="3:13"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</row>
    <row r="1087" spans="3:13"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</row>
    <row r="1088" spans="3:13"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</row>
    <row r="1089" spans="3:13"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</row>
    <row r="1090" spans="3:13"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</row>
    <row r="1091" spans="3:13"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</row>
    <row r="1092" spans="3:13"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</row>
    <row r="1093" spans="3:13"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</row>
    <row r="1094" spans="3:13"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</row>
    <row r="1095" spans="3:13"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</row>
    <row r="1096" spans="3:13"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</row>
    <row r="1097" spans="3:13"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</row>
    <row r="1098" spans="3:13"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</row>
    <row r="1099" spans="3:13"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</row>
    <row r="1100" spans="3:13"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</row>
    <row r="1101" spans="3:13"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</row>
    <row r="1102" spans="3:13"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</row>
    <row r="1103" spans="3:13"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</row>
    <row r="1104" spans="3:13"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</row>
    <row r="1105" spans="3:13"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</row>
    <row r="1106" spans="3:13"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</row>
    <row r="1107" spans="3:13"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</row>
    <row r="1108" spans="3:13"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</row>
    <row r="1109" spans="3:13"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</row>
    <row r="1110" spans="3:13"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</row>
    <row r="1111" spans="3:13"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</row>
    <row r="1112" spans="3:13"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</row>
    <row r="1113" spans="3:13"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</row>
    <row r="1114" spans="3:13"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</row>
    <row r="1115" spans="3:13"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</row>
    <row r="1116" spans="3:13"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</row>
    <row r="1117" spans="3:13"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</row>
    <row r="1118" spans="3:13"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</row>
    <row r="1119" spans="3:13"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</row>
    <row r="1120" spans="3:13"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</row>
    <row r="1121" spans="3:13"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</row>
    <row r="1122" spans="3:13"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</row>
    <row r="1123" spans="3:13"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</row>
    <row r="1124" spans="3:13"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</row>
    <row r="1125" spans="3:13"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</row>
    <row r="1126" spans="3:13"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</row>
    <row r="1127" spans="3:13"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</row>
    <row r="1128" spans="3:13"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</row>
    <row r="1129" spans="3:13"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</row>
    <row r="1130" spans="3:13"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</row>
    <row r="1131" spans="3:13"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</row>
    <row r="1132" spans="3:13"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</row>
    <row r="1133" spans="3:13"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</row>
    <row r="1134" spans="3:13"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</row>
    <row r="1135" spans="3:13"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</row>
    <row r="1136" spans="3:13"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</row>
    <row r="1137" spans="3:13"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</row>
    <row r="1138" spans="3:13"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</row>
    <row r="1139" spans="3:13"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</row>
    <row r="1140" spans="3:13"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</row>
    <row r="1141" spans="3:13"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</row>
    <row r="1142" spans="3:13"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</row>
    <row r="1143" spans="3:13"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</row>
    <row r="1144" spans="3:13"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</row>
    <row r="1145" spans="3:13"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</row>
    <row r="1146" spans="3:13"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</row>
    <row r="1147" spans="3:13"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</row>
    <row r="1148" spans="3:13"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</row>
    <row r="1149" spans="3:13"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</row>
    <row r="1150" spans="3:13"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</row>
    <row r="1151" spans="3:13"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</row>
    <row r="1152" spans="3:13"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</row>
    <row r="1153" spans="3:13"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</row>
    <row r="1154" spans="3:13"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</row>
    <row r="1155" spans="3:13"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</row>
    <row r="1156" spans="3:13"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</row>
    <row r="1157" spans="3:13"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</row>
    <row r="1158" spans="3:13"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</row>
    <row r="1159" spans="3:13"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</row>
    <row r="1160" spans="3:13"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</row>
    <row r="1161" spans="3:13"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</row>
    <row r="1162" spans="3:13"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</row>
    <row r="1163" spans="3:13"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</row>
    <row r="1164" spans="3:13"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</row>
    <row r="1165" spans="3:13"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</row>
    <row r="1166" spans="3:13"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</row>
    <row r="1167" spans="3:13"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</row>
    <row r="1168" spans="3:13"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</row>
    <row r="1169" spans="3:13"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</row>
    <row r="1170" spans="3:13"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</row>
    <row r="1171" spans="3:13"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</row>
    <row r="1172" spans="3:13"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</row>
    <row r="1173" spans="3:13"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</row>
    <row r="1174" spans="3:13"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</row>
    <row r="1175" spans="3:13"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</row>
    <row r="1176" spans="3:13"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</row>
    <row r="1177" spans="3:13"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</row>
    <row r="1178" spans="3:13"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</row>
    <row r="1179" spans="3:13"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</row>
    <row r="1180" spans="3:13"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</row>
    <row r="1181" spans="3:13"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</row>
    <row r="1182" spans="3:13"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</row>
    <row r="1183" spans="3:13"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</row>
    <row r="1184" spans="3:13"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</row>
    <row r="1185" spans="3:13"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</row>
    <row r="1186" spans="3:13"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</row>
    <row r="1187" spans="3:13"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</row>
    <row r="1188" spans="3:13"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</row>
    <row r="1189" spans="3:13"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</row>
    <row r="1190" spans="3:13"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</row>
    <row r="1191" spans="3:13"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</row>
    <row r="1192" spans="3:13"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</row>
    <row r="1193" spans="3:13"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</row>
    <row r="1194" spans="3:13"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</row>
    <row r="1195" spans="3:13"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</row>
    <row r="1196" spans="3:13"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</row>
    <row r="1197" spans="3:13"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</row>
    <row r="1198" spans="3:13"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</row>
    <row r="1199" spans="3:13"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</row>
    <row r="1200" spans="3:13"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</row>
    <row r="1201" spans="3:13"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</row>
    <row r="1202" spans="3:13"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</row>
    <row r="1203" spans="3:13"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</row>
    <row r="1204" spans="3:13"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</row>
    <row r="1205" spans="3:13"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</row>
    <row r="1206" spans="3:13"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</row>
    <row r="1207" spans="3:13"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</row>
    <row r="1208" spans="3:13"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</row>
    <row r="1209" spans="3:13"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</row>
    <row r="1210" spans="3:13"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</row>
    <row r="1211" spans="3:13"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</row>
    <row r="1212" spans="3:13"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</row>
    <row r="1213" spans="3:13"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</row>
    <row r="1214" spans="3:13"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</row>
    <row r="1215" spans="3:13"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</row>
    <row r="1216" spans="3:13"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</row>
    <row r="1217" spans="3:13"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</row>
    <row r="1218" spans="3:13"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</row>
    <row r="1219" spans="3:13"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</row>
    <row r="1220" spans="3:13"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</row>
    <row r="1221" spans="3:13"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</row>
    <row r="1222" spans="3:13"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</row>
    <row r="1223" spans="3:13"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</row>
    <row r="1224" spans="3:13"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</row>
    <row r="1225" spans="3:13"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</row>
    <row r="1226" spans="3:13"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</row>
    <row r="1227" spans="3:13"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</row>
    <row r="1228" spans="3:13"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</row>
    <row r="1229" spans="3:13"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</row>
    <row r="1230" spans="3:13"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</row>
    <row r="1231" spans="3:13"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</row>
    <row r="1232" spans="3:13"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</row>
    <row r="1233" spans="3:13"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</row>
    <row r="1234" spans="3:13"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</row>
    <row r="1235" spans="3:13"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</row>
    <row r="1236" spans="3:13"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</row>
    <row r="1237" spans="3:13"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</row>
    <row r="1238" spans="3:13"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</row>
    <row r="1239" spans="3:13"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</row>
    <row r="1240" spans="3:13"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</row>
    <row r="1241" spans="3:13"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</row>
    <row r="1242" spans="3:13"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</row>
    <row r="1243" spans="3:13"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</row>
    <row r="1244" spans="3:13"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</row>
    <row r="1245" spans="3:13"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</row>
    <row r="1246" spans="3:13"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</row>
    <row r="1247" spans="3:13"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</row>
    <row r="1248" spans="3:13"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</row>
    <row r="1249" spans="3:13"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</row>
    <row r="1250" spans="3:13"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</row>
    <row r="1251" spans="3:13"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</row>
    <row r="1252" spans="3:13"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</row>
    <row r="1253" spans="3:13"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</row>
    <row r="1254" spans="3:13"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</row>
    <row r="1255" spans="3:13"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</row>
    <row r="1256" spans="3:13"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</row>
    <row r="1257" spans="3:13"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</row>
    <row r="1258" spans="3:13"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</row>
    <row r="1259" spans="3:13"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</row>
    <row r="1260" spans="3:13"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</row>
    <row r="1261" spans="3:13"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</row>
    <row r="1262" spans="3:13"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</row>
    <row r="1263" spans="3:13"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</row>
    <row r="1264" spans="3:13"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</row>
    <row r="1265" spans="3:13"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</row>
    <row r="1266" spans="3:13"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</row>
    <row r="1267" spans="3:13"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</row>
    <row r="1268" spans="3:13"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</row>
    <row r="1269" spans="3:13"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</row>
    <row r="1270" spans="3:13"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</row>
    <row r="1271" spans="3:13"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</row>
    <row r="1272" spans="3:13"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</row>
    <row r="1273" spans="3:13"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</row>
    <row r="1274" spans="3:13"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</row>
    <row r="1275" spans="3:13"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</row>
    <row r="1276" spans="3:13"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</row>
    <row r="1277" spans="3:13"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</row>
    <row r="1278" spans="3:13"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</row>
    <row r="1279" spans="3:13"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</row>
    <row r="1280" spans="3:13"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</row>
    <row r="1281" spans="3:13"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</row>
    <row r="1282" spans="3:13"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</row>
    <row r="1283" spans="3:13"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</row>
    <row r="1284" spans="3:13"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</row>
    <row r="1285" spans="3:13"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</row>
    <row r="1286" spans="3:13"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</row>
    <row r="1287" spans="3:13"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</row>
    <row r="1288" spans="3:13"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</row>
    <row r="1289" spans="3:13"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</row>
    <row r="1290" spans="3:13"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</row>
    <row r="1291" spans="3:13"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</row>
    <row r="1292" spans="3:13"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</row>
    <row r="1293" spans="3:13"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</row>
    <row r="1294" spans="3:13"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</row>
    <row r="1295" spans="3:13"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</row>
    <row r="1296" spans="3:13"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</row>
    <row r="1297" spans="3:13"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</row>
    <row r="1298" spans="3:13"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</row>
    <row r="1299" spans="3:13"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</row>
    <row r="1300" spans="3:13"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</row>
    <row r="1301" spans="3:13"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</row>
    <row r="1302" spans="3:13"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</row>
    <row r="1303" spans="3:13"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</row>
    <row r="1304" spans="3:13"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</row>
    <row r="1305" spans="3:13"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</row>
    <row r="1306" spans="3:13"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</row>
    <row r="1307" spans="3:13"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</row>
    <row r="1308" spans="3:13"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</row>
    <row r="1309" spans="3:13"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</row>
    <row r="1310" spans="3:13"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</row>
    <row r="1311" spans="3:13"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</row>
    <row r="1312" spans="3:13"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</row>
    <row r="1313" spans="3:13"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</row>
    <row r="1314" spans="3:13"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</row>
    <row r="1315" spans="3:13"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</row>
    <row r="1316" spans="3:13"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</row>
    <row r="1317" spans="3:13"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</row>
    <row r="1318" spans="3:13"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</row>
    <row r="1319" spans="3:13"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</row>
    <row r="1320" spans="3:13"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</row>
    <row r="1321" spans="3:13"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</row>
    <row r="1322" spans="3:13"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</row>
    <row r="1323" spans="3:13"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</row>
    <row r="1324" spans="3:13"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</row>
    <row r="1325" spans="3:13"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</row>
    <row r="1326" spans="3:13"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</row>
    <row r="1327" spans="3:13"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</row>
    <row r="1328" spans="3:13"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</row>
    <row r="1329" spans="3:13"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</row>
    <row r="1330" spans="3:13"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</row>
    <row r="1331" spans="3:13"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</row>
    <row r="1332" spans="3:13"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</row>
    <row r="1333" spans="3:13"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</row>
    <row r="1334" spans="3:13"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</row>
    <row r="1335" spans="3:13"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</row>
    <row r="1336" spans="3:13"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</row>
    <row r="1337" spans="3:13"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</row>
    <row r="1338" spans="3:13"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</row>
    <row r="1339" spans="3:13"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</row>
    <row r="1340" spans="3:13"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</row>
    <row r="1341" spans="3:13"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</row>
    <row r="1342" spans="3:13"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</row>
    <row r="1343" spans="3:13"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</row>
    <row r="1344" spans="3:13"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</row>
    <row r="1345" spans="3:13"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</row>
    <row r="1346" spans="3:13"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</row>
    <row r="1347" spans="3:13"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</row>
    <row r="1348" spans="3:13"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</row>
    <row r="1349" spans="3:13"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</row>
    <row r="1350" spans="3:13"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</row>
    <row r="1351" spans="3:13"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</row>
    <row r="1352" spans="3:13"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</row>
    <row r="1353" spans="3:13"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</row>
    <row r="1354" spans="3:13"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</row>
    <row r="1355" spans="3:13"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</row>
    <row r="1356" spans="3:13"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</row>
    <row r="1357" spans="3:13"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</row>
    <row r="1358" spans="3:13"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</row>
    <row r="1359" spans="3:13"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</row>
    <row r="1360" spans="3:13"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</row>
    <row r="1361" spans="3:13"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</row>
    <row r="1362" spans="3:13"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</row>
    <row r="1363" spans="3:13"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</row>
    <row r="1364" spans="3:13"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</row>
    <row r="1365" spans="3:13"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</row>
    <row r="1366" spans="3:13"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</row>
    <row r="1367" spans="3:13"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</row>
    <row r="1368" spans="3:13"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</row>
    <row r="1369" spans="3:13"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</row>
    <row r="1370" spans="3:13"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</row>
    <row r="1371" spans="3:13"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</row>
    <row r="1372" spans="3:13"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</row>
    <row r="1373" spans="3:13"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</row>
    <row r="1374" spans="3:13"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</row>
    <row r="1375" spans="3:13"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</row>
    <row r="1376" spans="3:13"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</row>
    <row r="1377" spans="3:13"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</row>
    <row r="1378" spans="3:13"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</row>
    <row r="1379" spans="3:13"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</row>
    <row r="1380" spans="3:13"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</row>
    <row r="1381" spans="3:13"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</row>
    <row r="1382" spans="3:13"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</row>
    <row r="1383" spans="3:13"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</row>
    <row r="1384" spans="3:13"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</row>
    <row r="1385" spans="3:13"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</row>
    <row r="1386" spans="3:13"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</row>
    <row r="1387" spans="3:13"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</row>
    <row r="1388" spans="3:13"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</row>
    <row r="1389" spans="3:13"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</row>
    <row r="1390" spans="3:13"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</row>
    <row r="1391" spans="3:13"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</row>
    <row r="1392" spans="3:13"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</row>
    <row r="1393" spans="3:13"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</row>
    <row r="1394" spans="3:13"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</row>
    <row r="1395" spans="3:13"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</row>
    <row r="1396" spans="3:13"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</row>
    <row r="1397" spans="3:13"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</row>
    <row r="1398" spans="3:13"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</row>
    <row r="1399" spans="3:13"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</row>
    <row r="1400" spans="3:13"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</row>
    <row r="1401" spans="3:13"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</row>
    <row r="1402" spans="3:13"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</row>
    <row r="1403" spans="3:13"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</row>
    <row r="1404" spans="3:13"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</row>
    <row r="1405" spans="3:13"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</row>
    <row r="1406" spans="3:13"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</row>
    <row r="1407" spans="3:13"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</row>
    <row r="1408" spans="3:13"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</row>
    <row r="1409" spans="3:13"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</row>
    <row r="1410" spans="3:13"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</row>
    <row r="1411" spans="3:13"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</row>
    <row r="1412" spans="3:13"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</row>
    <row r="1413" spans="3:13"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</row>
    <row r="1414" spans="3:13"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</row>
    <row r="1415" spans="3:13"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</row>
    <row r="1416" spans="3:13"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</row>
    <row r="1417" spans="3:13"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</row>
    <row r="1418" spans="3:13"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</row>
    <row r="1419" spans="3:13"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</row>
    <row r="1420" spans="3:13"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</row>
    <row r="1421" spans="3:13"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</row>
    <row r="1422" spans="3:13"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</row>
    <row r="1423" spans="3:13"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</row>
    <row r="1424" spans="3:13"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</row>
    <row r="1425" spans="3:13"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</row>
    <row r="1426" spans="3:13"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</row>
    <row r="1427" spans="3:13"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</row>
    <row r="1428" spans="3:13"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</row>
    <row r="1429" spans="3:13"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</row>
    <row r="1430" spans="3:13"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</row>
    <row r="1431" spans="3:13"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</row>
    <row r="1432" spans="3:13"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</row>
    <row r="1433" spans="3:13"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</row>
    <row r="1434" spans="3:13"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</row>
    <row r="1435" spans="3:13"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</row>
    <row r="1436" spans="3:13"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</row>
    <row r="1437" spans="3:13"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</row>
    <row r="1438" spans="3:13"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</row>
    <row r="1439" spans="3:13"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</row>
    <row r="1440" spans="3:13"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</row>
    <row r="1441" spans="3:13"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</row>
    <row r="1442" spans="3:13"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</row>
    <row r="1443" spans="3:13"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</row>
    <row r="1444" spans="3:13"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</row>
    <row r="1445" spans="3:13"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</row>
    <row r="1446" spans="3:13"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</row>
    <row r="1447" spans="3:13"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</row>
    <row r="1448" spans="3:13"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</row>
    <row r="1449" spans="3:13"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</row>
    <row r="1450" spans="3:13"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</row>
    <row r="1451" spans="3:13"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</row>
    <row r="1452" spans="3:13"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</row>
    <row r="1453" spans="3:13"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</row>
    <row r="1454" spans="3:13"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</row>
    <row r="1455" spans="3:13"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</row>
    <row r="1456" spans="3:13"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</row>
    <row r="1457" spans="3:13"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</row>
    <row r="1458" spans="3:13"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</row>
    <row r="1459" spans="3:13"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</row>
    <row r="1460" spans="3:13"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</row>
    <row r="1461" spans="3:13"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</row>
    <row r="1462" spans="3:13"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</row>
    <row r="1463" spans="3:13"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</row>
    <row r="1464" spans="3:13"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</row>
    <row r="1465" spans="3:13"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</row>
    <row r="1466" spans="3:13"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</row>
    <row r="1467" spans="3:13"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</row>
    <row r="1468" spans="3:13"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</row>
    <row r="1469" spans="3:13"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</row>
    <row r="1470" spans="3:13"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</row>
    <row r="1471" spans="3:13"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</row>
    <row r="1472" spans="3:13"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</row>
    <row r="1473" spans="3:13"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</row>
    <row r="1474" spans="3:13"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</row>
    <row r="1475" spans="3:13"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</row>
    <row r="1476" spans="3:13"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</row>
    <row r="1477" spans="3:13"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</row>
    <row r="1478" spans="3:13"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</row>
    <row r="1479" spans="3:13"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</row>
    <row r="1480" spans="3:13"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</row>
    <row r="1481" spans="3:13"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</row>
    <row r="1482" spans="3:13"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</row>
    <row r="1483" spans="3:13"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</row>
  </sheetData>
  <protectedRanges>
    <protectedRange algorithmName="SHA-512" hashValue="Rz57DQc+W05KI0Y/Hy8RqHPz6I1aVUwdm8oMBgtjNz+w1or7lDDqSF/q9v+hp+FHe6tHBXVu7qGfKu1vQhk8eA==" saltValue="+9cXMUEIDCkPGKovgTK7mA==" spinCount="100000" sqref="W6:X51 E10:E12 E17:E27 E29 E33 E35 E37 E39 E41 E43 E45 E47 E49 E70:E72 E77:E87 E89 E91 E93 E95 E97 E99 E101 E103 E107 E109 W77:W97 W68 W65:X67 W69:X70 W99 X72:X75 X77:X86 W73:W75 W100:X110 X88:X98 W112:X112" name="Oblast1"/>
  </protectedRanges>
  <mergeCells count="78">
    <mergeCell ref="W5:X5"/>
    <mergeCell ref="W10:X10"/>
    <mergeCell ref="W83:X83"/>
    <mergeCell ref="W85:X85"/>
    <mergeCell ref="W27:X27"/>
    <mergeCell ref="W29:X29"/>
    <mergeCell ref="W33:X33"/>
    <mergeCell ref="W35:X35"/>
    <mergeCell ref="W37:X37"/>
    <mergeCell ref="W11:X11"/>
    <mergeCell ref="W13:X13"/>
    <mergeCell ref="W17:X17"/>
    <mergeCell ref="W19:X19"/>
    <mergeCell ref="W21:X21"/>
    <mergeCell ref="W23:X23"/>
    <mergeCell ref="W25:X25"/>
    <mergeCell ref="N65:O65"/>
    <mergeCell ref="N125:O125"/>
    <mergeCell ref="N5:O5"/>
    <mergeCell ref="P5:Q5"/>
    <mergeCell ref="P61:Q61"/>
    <mergeCell ref="P95:V96"/>
    <mergeCell ref="P37:V37"/>
    <mergeCell ref="P11:V11"/>
    <mergeCell ref="P17:U17"/>
    <mergeCell ref="P33:V33"/>
    <mergeCell ref="P35:V35"/>
    <mergeCell ref="P47:V47"/>
    <mergeCell ref="P13:V13"/>
    <mergeCell ref="P25:V25"/>
    <mergeCell ref="P73:V73"/>
    <mergeCell ref="P74:V74"/>
    <mergeCell ref="Z97:Z98"/>
    <mergeCell ref="W47:X47"/>
    <mergeCell ref="W49:X49"/>
    <mergeCell ref="W66:X66"/>
    <mergeCell ref="W67:X67"/>
    <mergeCell ref="W79:X79"/>
    <mergeCell ref="W109:X109"/>
    <mergeCell ref="P109:V109"/>
    <mergeCell ref="W63:X64"/>
    <mergeCell ref="W77:X77"/>
    <mergeCell ref="W68:X68"/>
    <mergeCell ref="W87:X87"/>
    <mergeCell ref="P90:V90"/>
    <mergeCell ref="W93:X94"/>
    <mergeCell ref="P85:V85"/>
    <mergeCell ref="P93:V94"/>
    <mergeCell ref="W89:X90"/>
    <mergeCell ref="W106:X107"/>
    <mergeCell ref="W97:X98"/>
    <mergeCell ref="W99:X99"/>
    <mergeCell ref="W95:X96"/>
    <mergeCell ref="P77:V77"/>
    <mergeCell ref="W39:X39"/>
    <mergeCell ref="B173:H173"/>
    <mergeCell ref="K173:L173"/>
    <mergeCell ref="K115:L115"/>
    <mergeCell ref="K55:L55"/>
    <mergeCell ref="P49:V49"/>
    <mergeCell ref="P106:V107"/>
    <mergeCell ref="P97:V98"/>
    <mergeCell ref="P68:V68"/>
    <mergeCell ref="P63:V64"/>
    <mergeCell ref="B55:H55"/>
    <mergeCell ref="H115:I115"/>
    <mergeCell ref="W70:X70"/>
    <mergeCell ref="W69:X69"/>
    <mergeCell ref="W73:X74"/>
    <mergeCell ref="W113:X113"/>
    <mergeCell ref="P79:V79"/>
    <mergeCell ref="P81:V81"/>
    <mergeCell ref="P83:V83"/>
    <mergeCell ref="P87:V87"/>
    <mergeCell ref="P65:V65"/>
    <mergeCell ref="P67:V67"/>
    <mergeCell ref="P69:V69"/>
    <mergeCell ref="P70:V7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orientation="landscape" r:id="rId1"/>
  <ignoredErrors>
    <ignoredError sqref="I87 D12:M12 J27:J2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249977111117893"/>
    <pageSetUpPr fitToPage="1"/>
  </sheetPr>
  <dimension ref="A1:AE52"/>
  <sheetViews>
    <sheetView showGridLines="0" zoomScale="90" zoomScaleNormal="90" workbookViewId="0">
      <selection activeCell="W46" sqref="W46"/>
    </sheetView>
  </sheetViews>
  <sheetFormatPr defaultColWidth="9.140625" defaultRowHeight="15"/>
  <cols>
    <col min="1" max="1" width="48.42578125" style="2" customWidth="1"/>
    <col min="2" max="2" width="9.140625" style="2" customWidth="1"/>
    <col min="3" max="3" width="24.85546875" style="2" customWidth="1"/>
    <col min="4" max="4" width="15.5703125" style="2" customWidth="1"/>
    <col min="5" max="12" width="13.7109375" style="2" customWidth="1"/>
    <col min="13" max="13" width="15.5703125" style="2" customWidth="1"/>
    <col min="14" max="14" width="22.28515625" style="2" customWidth="1"/>
    <col min="15" max="15" width="9.140625" style="2"/>
    <col min="16" max="16" width="15.140625" style="2" customWidth="1"/>
    <col min="17" max="17" width="11.42578125" style="2" customWidth="1"/>
    <col min="18" max="18" width="9.140625" style="2"/>
    <col min="19" max="19" width="11.42578125" style="2" bestFit="1" customWidth="1"/>
    <col min="20" max="21" width="9.140625" style="2"/>
    <col min="22" max="22" width="13.5703125" style="2" bestFit="1" customWidth="1"/>
    <col min="23" max="23" width="54.42578125" style="2" customWidth="1"/>
    <col min="24" max="24" width="19.85546875" style="2" customWidth="1"/>
    <col min="25" max="25" width="78" style="2" customWidth="1"/>
    <col min="26" max="26" width="9.140625" style="2"/>
    <col min="27" max="27" width="15.85546875" style="2" customWidth="1"/>
    <col min="28" max="28" width="9.140625" style="2"/>
    <col min="29" max="29" width="19.5703125" style="2" customWidth="1"/>
    <col min="30" max="30" width="11.85546875" style="2" customWidth="1"/>
    <col min="31" max="16384" width="9.140625" style="2"/>
  </cols>
  <sheetData>
    <row r="1" spans="1:24" ht="15.75">
      <c r="A1" s="1604" t="str">
        <f>'Položkový rozpočet projektu'!A1:A1</f>
        <v>Modelový projekt: "Zvýšení technologické vybavenosti společnosti Šroub &amp; Matka, spol. s r.o. v Ostravě"</v>
      </c>
      <c r="B1" s="1608"/>
      <c r="C1" s="1608"/>
      <c r="D1" s="6"/>
      <c r="E1" s="1609"/>
    </row>
    <row r="2" spans="1:24" ht="15.75" thickBot="1">
      <c r="A2"/>
      <c r="B2"/>
      <c r="C2"/>
      <c r="D2" s="3"/>
    </row>
    <row r="3" spans="1:24" ht="19.5" thickBot="1">
      <c r="A3" s="700" t="s">
        <v>629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9"/>
    </row>
    <row r="4" spans="1:24" ht="15.75" thickBot="1">
      <c r="A4" s="403"/>
      <c r="M4" s="317"/>
    </row>
    <row r="5" spans="1:24" ht="15.75" thickBot="1">
      <c r="A5" s="36" t="s">
        <v>64</v>
      </c>
      <c r="B5" s="56" t="s">
        <v>14</v>
      </c>
      <c r="C5" s="1255">
        <v>2023</v>
      </c>
      <c r="D5" s="28">
        <v>2025</v>
      </c>
      <c r="E5" s="32">
        <v>2026</v>
      </c>
      <c r="F5" s="32">
        <v>2027</v>
      </c>
      <c r="G5" s="32">
        <v>2028</v>
      </c>
      <c r="H5" s="32">
        <v>2029</v>
      </c>
      <c r="I5" s="32">
        <v>2030</v>
      </c>
      <c r="J5" s="32">
        <v>2031</v>
      </c>
      <c r="K5" s="32">
        <v>2032</v>
      </c>
      <c r="L5" s="32">
        <v>2033</v>
      </c>
      <c r="M5" s="32">
        <v>2034</v>
      </c>
      <c r="N5" s="594" t="s">
        <v>162</v>
      </c>
      <c r="O5" s="149"/>
      <c r="P5" s="1902" t="s">
        <v>211</v>
      </c>
      <c r="Q5" s="1903"/>
      <c r="R5" s="401"/>
      <c r="S5" s="402"/>
      <c r="T5" s="402"/>
      <c r="U5" s="402"/>
      <c r="V5" s="401"/>
      <c r="W5" s="401"/>
      <c r="X5" s="555" t="s">
        <v>158</v>
      </c>
    </row>
    <row r="6" spans="1:24" ht="32.25" customHeight="1" thickBot="1">
      <c r="A6" s="13"/>
      <c r="B6" s="57"/>
      <c r="C6" s="1540" t="s">
        <v>535</v>
      </c>
      <c r="D6" s="872" t="s">
        <v>429</v>
      </c>
      <c r="E6" s="873" t="s">
        <v>40</v>
      </c>
      <c r="F6" s="873" t="s">
        <v>40</v>
      </c>
      <c r="G6" s="873" t="s">
        <v>40</v>
      </c>
      <c r="H6" s="873" t="s">
        <v>40</v>
      </c>
      <c r="I6" s="873" t="s">
        <v>40</v>
      </c>
      <c r="J6" s="873" t="s">
        <v>40</v>
      </c>
      <c r="K6" s="873" t="s">
        <v>40</v>
      </c>
      <c r="L6" s="873" t="s">
        <v>40</v>
      </c>
      <c r="M6" s="874" t="s">
        <v>40</v>
      </c>
      <c r="P6" s="1568" t="s">
        <v>631</v>
      </c>
      <c r="Q6" s="401"/>
      <c r="R6" s="401"/>
      <c r="S6" s="402"/>
      <c r="T6" s="402"/>
      <c r="U6" s="402"/>
      <c r="V6" s="401"/>
      <c r="W6" s="401"/>
      <c r="X6" s="431"/>
    </row>
    <row r="7" spans="1:24" ht="16.5" customHeight="1" thickBot="1">
      <c r="A7" s="857" t="s">
        <v>309</v>
      </c>
      <c r="B7" s="679" t="s">
        <v>2</v>
      </c>
      <c r="C7" s="1539" t="s">
        <v>622</v>
      </c>
      <c r="D7" s="1257" t="s">
        <v>430</v>
      </c>
      <c r="E7" s="1258">
        <v>12</v>
      </c>
      <c r="F7" s="1259">
        <v>12</v>
      </c>
      <c r="G7" s="1259">
        <v>12</v>
      </c>
      <c r="H7" s="1259">
        <v>12</v>
      </c>
      <c r="I7" s="1259">
        <v>12</v>
      </c>
      <c r="J7" s="1259">
        <v>12</v>
      </c>
      <c r="K7" s="1259">
        <v>12</v>
      </c>
      <c r="L7" s="1259">
        <v>12</v>
      </c>
      <c r="M7" s="1260">
        <v>12</v>
      </c>
      <c r="P7" s="1904" t="s">
        <v>170</v>
      </c>
      <c r="Q7" s="1905"/>
      <c r="R7" s="1905"/>
      <c r="S7" s="1905"/>
      <c r="T7" s="1905"/>
      <c r="U7" s="1905"/>
      <c r="V7" s="1905"/>
      <c r="W7" s="1905"/>
      <c r="X7" s="1906"/>
    </row>
    <row r="8" spans="1:24" ht="15.75" thickBot="1">
      <c r="A8" s="23"/>
      <c r="B8" s="58"/>
      <c r="C8" s="58"/>
      <c r="D8" s="35"/>
      <c r="E8" s="37"/>
      <c r="F8" s="34"/>
      <c r="G8" s="34"/>
      <c r="H8" s="34"/>
      <c r="I8" s="34"/>
      <c r="J8" s="34"/>
      <c r="K8" s="34"/>
      <c r="L8" s="34"/>
      <c r="M8" s="156"/>
      <c r="P8" s="1904"/>
      <c r="Q8" s="1905"/>
      <c r="R8" s="1905"/>
      <c r="S8" s="1905"/>
      <c r="T8" s="1905"/>
      <c r="U8" s="1905"/>
      <c r="V8" s="1905"/>
      <c r="W8" s="1905"/>
      <c r="X8" s="1906"/>
    </row>
    <row r="9" spans="1:24" ht="15.75" thickBot="1">
      <c r="A9" s="10" t="s">
        <v>98</v>
      </c>
      <c r="B9" s="59" t="s">
        <v>1</v>
      </c>
      <c r="C9" s="1573">
        <f>SUM(C10:C12)</f>
        <v>137597000</v>
      </c>
      <c r="D9" s="100">
        <f t="shared" ref="D9:E9" si="0">SUM(D10:D12)</f>
        <v>0</v>
      </c>
      <c r="E9" s="124">
        <f t="shared" si="0"/>
        <v>0</v>
      </c>
      <c r="F9" s="121">
        <f t="shared" ref="F9" si="1">SUM(F10:F12)</f>
        <v>0</v>
      </c>
      <c r="G9" s="121">
        <f>SUM(G10:G12)</f>
        <v>0</v>
      </c>
      <c r="H9" s="121">
        <f t="shared" ref="H9" si="2">SUM(H10:H12)</f>
        <v>0</v>
      </c>
      <c r="I9" s="121">
        <f t="shared" ref="I9" si="3">SUM(I10:I12)</f>
        <v>0</v>
      </c>
      <c r="J9" s="121">
        <f t="shared" ref="J9" si="4">SUM(J10:J12)</f>
        <v>0</v>
      </c>
      <c r="K9" s="121">
        <f t="shared" ref="K9" si="5">SUM(K10:K12)</f>
        <v>0</v>
      </c>
      <c r="L9" s="121">
        <f t="shared" ref="L9" si="6">SUM(L10:L12)</f>
        <v>0</v>
      </c>
      <c r="M9" s="157">
        <f>SUM(M10:M12)</f>
        <v>0</v>
      </c>
      <c r="N9" s="429">
        <f>SUM(D9:M9)</f>
        <v>0</v>
      </c>
      <c r="P9" s="1904"/>
      <c r="Q9" s="1905"/>
      <c r="R9" s="1905"/>
      <c r="S9" s="1905"/>
      <c r="T9" s="1905"/>
      <c r="U9" s="1905"/>
      <c r="V9" s="1905"/>
      <c r="W9" s="1905"/>
      <c r="X9" s="1906"/>
    </row>
    <row r="10" spans="1:24">
      <c r="A10" s="152" t="s">
        <v>96</v>
      </c>
      <c r="B10" s="151"/>
      <c r="C10" s="1574">
        <f>C26</f>
        <v>134995000</v>
      </c>
      <c r="D10" s="171">
        <f>E10*0.98/12*2</f>
        <v>0</v>
      </c>
      <c r="E10" s="468">
        <f>X10*12</f>
        <v>0</v>
      </c>
      <c r="F10" s="159">
        <f>E10*1.02</f>
        <v>0</v>
      </c>
      <c r="G10" s="159">
        <f t="shared" ref="G10:M10" si="7">F10*1.02</f>
        <v>0</v>
      </c>
      <c r="H10" s="159">
        <f t="shared" si="7"/>
        <v>0</v>
      </c>
      <c r="I10" s="159">
        <f t="shared" si="7"/>
        <v>0</v>
      </c>
      <c r="J10" s="159">
        <f t="shared" si="7"/>
        <v>0</v>
      </c>
      <c r="K10" s="159">
        <f t="shared" si="7"/>
        <v>0</v>
      </c>
      <c r="L10" s="159">
        <f t="shared" si="7"/>
        <v>0</v>
      </c>
      <c r="M10" s="860">
        <f t="shared" si="7"/>
        <v>0</v>
      </c>
      <c r="N10" s="429">
        <f t="shared" ref="N10:N15" si="8">SUM(D10:M10)</f>
        <v>0</v>
      </c>
      <c r="P10" s="432" t="s">
        <v>220</v>
      </c>
      <c r="S10"/>
      <c r="T10"/>
      <c r="U10"/>
      <c r="X10" s="408">
        <v>0</v>
      </c>
    </row>
    <row r="11" spans="1:24">
      <c r="A11" s="154" t="s">
        <v>97</v>
      </c>
      <c r="B11" s="155"/>
      <c r="C11" s="1575">
        <f>C27</f>
        <v>268000</v>
      </c>
      <c r="D11" s="172">
        <f>E11*0.98/12*2</f>
        <v>0</v>
      </c>
      <c r="E11" s="469">
        <f>X11*12</f>
        <v>0</v>
      </c>
      <c r="F11" s="126">
        <f>E11*1.02</f>
        <v>0</v>
      </c>
      <c r="G11" s="126">
        <f t="shared" ref="G11:M11" si="9">F11*1.02</f>
        <v>0</v>
      </c>
      <c r="H11" s="126">
        <f t="shared" si="9"/>
        <v>0</v>
      </c>
      <c r="I11" s="126">
        <f t="shared" si="9"/>
        <v>0</v>
      </c>
      <c r="J11" s="126">
        <f t="shared" si="9"/>
        <v>0</v>
      </c>
      <c r="K11" s="126">
        <f t="shared" si="9"/>
        <v>0</v>
      </c>
      <c r="L11" s="126">
        <f t="shared" si="9"/>
        <v>0</v>
      </c>
      <c r="M11" s="861">
        <f t="shared" si="9"/>
        <v>0</v>
      </c>
      <c r="N11" s="429">
        <f t="shared" si="8"/>
        <v>0</v>
      </c>
      <c r="P11" s="403" t="s">
        <v>159</v>
      </c>
      <c r="S11"/>
      <c r="T11"/>
      <c r="U11"/>
      <c r="X11" s="407">
        <v>0</v>
      </c>
    </row>
    <row r="12" spans="1:24" ht="15.75" thickBot="1">
      <c r="A12" s="60" t="s">
        <v>95</v>
      </c>
      <c r="B12" s="55"/>
      <c r="C12" s="1576">
        <f>C28</f>
        <v>2334000</v>
      </c>
      <c r="D12" s="173">
        <f>E12*0.98/12*2</f>
        <v>0</v>
      </c>
      <c r="E12" s="125">
        <f>X12*12</f>
        <v>0</v>
      </c>
      <c r="F12" s="126">
        <f>E12*1.02</f>
        <v>0</v>
      </c>
      <c r="G12" s="126">
        <f t="shared" ref="G12:M12" si="10">F12*1.02</f>
        <v>0</v>
      </c>
      <c r="H12" s="126">
        <f t="shared" si="10"/>
        <v>0</v>
      </c>
      <c r="I12" s="126">
        <f t="shared" si="10"/>
        <v>0</v>
      </c>
      <c r="J12" s="126">
        <f t="shared" si="10"/>
        <v>0</v>
      </c>
      <c r="K12" s="126">
        <f t="shared" si="10"/>
        <v>0</v>
      </c>
      <c r="L12" s="126">
        <f t="shared" si="10"/>
        <v>0</v>
      </c>
      <c r="M12" s="861">
        <f t="shared" si="10"/>
        <v>0</v>
      </c>
      <c r="N12" s="429">
        <f t="shared" si="8"/>
        <v>0</v>
      </c>
      <c r="P12" s="417" t="s">
        <v>164</v>
      </c>
      <c r="S12"/>
      <c r="T12"/>
      <c r="U12"/>
      <c r="X12" s="408">
        <v>0</v>
      </c>
    </row>
    <row r="13" spans="1:24" ht="15.75" thickBot="1">
      <c r="A13" s="10" t="s">
        <v>63</v>
      </c>
      <c r="B13" s="59" t="s">
        <v>1</v>
      </c>
      <c r="C13" s="1577">
        <f>C29</f>
        <v>0</v>
      </c>
      <c r="D13" s="100">
        <v>0</v>
      </c>
      <c r="E13" s="124">
        <v>0</v>
      </c>
      <c r="F13" s="124"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2">
        <v>0</v>
      </c>
      <c r="N13" s="429">
        <f t="shared" si="8"/>
        <v>0</v>
      </c>
      <c r="P13" s="403"/>
      <c r="S13"/>
      <c r="T13"/>
      <c r="U13"/>
      <c r="X13" s="317"/>
    </row>
    <row r="14" spans="1:24" ht="15.75" thickBot="1">
      <c r="A14" s="23"/>
      <c r="B14" s="23"/>
      <c r="C14" s="23"/>
      <c r="D14" s="118"/>
      <c r="E14" s="141"/>
      <c r="F14" s="130"/>
      <c r="G14" s="130"/>
      <c r="H14" s="130"/>
      <c r="I14" s="130"/>
      <c r="J14" s="130"/>
      <c r="K14" s="130"/>
      <c r="L14" s="130"/>
      <c r="M14" s="862"/>
      <c r="N14" s="429"/>
      <c r="P14" s="404"/>
      <c r="Q14" s="405"/>
      <c r="R14" s="405"/>
      <c r="S14" s="406"/>
      <c r="T14" s="406"/>
      <c r="U14" s="406"/>
      <c r="V14" s="405"/>
      <c r="W14" s="405"/>
      <c r="X14" s="328"/>
    </row>
    <row r="15" spans="1:24" ht="15.75" thickBot="1">
      <c r="A15" s="10" t="s">
        <v>175</v>
      </c>
      <c r="B15" s="59" t="s">
        <v>1</v>
      </c>
      <c r="C15" s="1573">
        <f>C31</f>
        <v>137597000</v>
      </c>
      <c r="D15" s="100">
        <f t="shared" ref="D15:M15" si="11">D9+D13</f>
        <v>0</v>
      </c>
      <c r="E15" s="124">
        <f t="shared" si="11"/>
        <v>0</v>
      </c>
      <c r="F15" s="121">
        <f t="shared" si="11"/>
        <v>0</v>
      </c>
      <c r="G15" s="121">
        <f t="shared" si="11"/>
        <v>0</v>
      </c>
      <c r="H15" s="121">
        <f t="shared" si="11"/>
        <v>0</v>
      </c>
      <c r="I15" s="121">
        <f t="shared" si="11"/>
        <v>0</v>
      </c>
      <c r="J15" s="121">
        <f t="shared" si="11"/>
        <v>0</v>
      </c>
      <c r="K15" s="121">
        <f t="shared" si="11"/>
        <v>0</v>
      </c>
      <c r="L15" s="121">
        <f t="shared" si="11"/>
        <v>0</v>
      </c>
      <c r="M15" s="157">
        <f t="shared" si="11"/>
        <v>0</v>
      </c>
      <c r="N15" s="429">
        <f t="shared" si="8"/>
        <v>0</v>
      </c>
    </row>
    <row r="17" spans="1:24" ht="15.75" thickBot="1">
      <c r="A17" s="403"/>
      <c r="K17" s="1907" t="s">
        <v>176</v>
      </c>
      <c r="L17" s="1908"/>
      <c r="M17" s="863">
        <f>SUM(D15:M15)</f>
        <v>0</v>
      </c>
      <c r="N17" s="524"/>
      <c r="P17" s="552" t="s">
        <v>133</v>
      </c>
      <c r="Q17" s="553"/>
      <c r="R17" s="553"/>
      <c r="S17" s="553"/>
      <c r="T17" s="553"/>
      <c r="U17" s="553"/>
      <c r="V17" s="553"/>
      <c r="W17" s="554"/>
      <c r="X17" s="1569">
        <f>M17/M33</f>
        <v>0</v>
      </c>
    </row>
    <row r="18" spans="1:24" ht="15.75" thickBot="1">
      <c r="A18" s="403"/>
      <c r="M18" s="317"/>
      <c r="N18" s="524"/>
    </row>
    <row r="19" spans="1:24" ht="19.5" thickBot="1">
      <c r="A19" s="1565" t="s">
        <v>630</v>
      </c>
      <c r="B19" s="534"/>
      <c r="C19" s="534"/>
      <c r="D19" s="534"/>
      <c r="E19" s="534"/>
      <c r="F19" s="534"/>
      <c r="G19" s="534"/>
      <c r="H19" s="534"/>
      <c r="I19" s="534"/>
      <c r="J19" s="534"/>
      <c r="K19" s="534"/>
      <c r="L19" s="534"/>
      <c r="M19" s="864"/>
      <c r="N19" s="524"/>
    </row>
    <row r="20" spans="1:24" ht="15.75" thickBot="1">
      <c r="A20" s="403"/>
      <c r="M20" s="317"/>
      <c r="N20" s="524"/>
    </row>
    <row r="21" spans="1:24" ht="16.5" thickBot="1">
      <c r="A21" s="36" t="s">
        <v>64</v>
      </c>
      <c r="B21" s="56" t="s">
        <v>14</v>
      </c>
      <c r="C21" s="1255">
        <v>2023</v>
      </c>
      <c r="D21" s="28">
        <v>2025</v>
      </c>
      <c r="E21" s="32">
        <v>2026</v>
      </c>
      <c r="F21" s="32">
        <v>2027</v>
      </c>
      <c r="G21" s="32">
        <v>2028</v>
      </c>
      <c r="H21" s="32">
        <v>2029</v>
      </c>
      <c r="I21" s="32">
        <v>2030</v>
      </c>
      <c r="J21" s="32">
        <v>2031</v>
      </c>
      <c r="K21" s="32">
        <v>2032</v>
      </c>
      <c r="L21" s="32">
        <v>2033</v>
      </c>
      <c r="M21" s="32">
        <v>2034</v>
      </c>
      <c r="N21" s="1566" t="s">
        <v>162</v>
      </c>
      <c r="P21" s="1899" t="s">
        <v>441</v>
      </c>
      <c r="Q21" s="1900"/>
      <c r="R21" s="1900"/>
      <c r="S21" s="1900"/>
      <c r="T21" s="1900"/>
      <c r="U21" s="1900"/>
      <c r="V21" s="1900"/>
      <c r="W21" s="1901"/>
      <c r="X21" s="555" t="s">
        <v>158</v>
      </c>
    </row>
    <row r="22" spans="1:24" ht="42" customHeight="1" thickBot="1">
      <c r="A22" s="13"/>
      <c r="B22" s="57"/>
      <c r="C22" s="1540" t="s">
        <v>535</v>
      </c>
      <c r="D22" s="872" t="s">
        <v>429</v>
      </c>
      <c r="E22" s="873" t="s">
        <v>40</v>
      </c>
      <c r="F22" s="873" t="s">
        <v>40</v>
      </c>
      <c r="G22" s="873" t="s">
        <v>40</v>
      </c>
      <c r="H22" s="873" t="s">
        <v>40</v>
      </c>
      <c r="I22" s="873" t="s">
        <v>40</v>
      </c>
      <c r="J22" s="873" t="s">
        <v>40</v>
      </c>
      <c r="K22" s="873" t="s">
        <v>40</v>
      </c>
      <c r="L22" s="873" t="s">
        <v>40</v>
      </c>
      <c r="M22" s="874" t="s">
        <v>40</v>
      </c>
      <c r="N22" s="524"/>
      <c r="P22" s="1911" t="s">
        <v>632</v>
      </c>
      <c r="Q22" s="1912"/>
      <c r="R22" s="1912"/>
      <c r="S22" s="1912"/>
      <c r="T22" s="1912"/>
      <c r="U22" s="1912"/>
      <c r="V22" s="1912"/>
      <c r="W22" s="1913"/>
      <c r="X22" s="871"/>
    </row>
    <row r="23" spans="1:24" ht="16.5" customHeight="1" thickBot="1">
      <c r="A23" s="701" t="s">
        <v>309</v>
      </c>
      <c r="B23" s="679" t="s">
        <v>2</v>
      </c>
      <c r="C23" s="1539" t="s">
        <v>622</v>
      </c>
      <c r="D23" s="1257" t="s">
        <v>430</v>
      </c>
      <c r="E23" s="1258">
        <v>12</v>
      </c>
      <c r="F23" s="1259">
        <v>12</v>
      </c>
      <c r="G23" s="1259">
        <v>12</v>
      </c>
      <c r="H23" s="1259">
        <v>12</v>
      </c>
      <c r="I23" s="1259">
        <v>12</v>
      </c>
      <c r="J23" s="1259">
        <v>12</v>
      </c>
      <c r="K23" s="1259">
        <v>12</v>
      </c>
      <c r="L23" s="1259">
        <v>12</v>
      </c>
      <c r="M23" s="1260">
        <v>12</v>
      </c>
      <c r="N23" s="524"/>
      <c r="P23" s="1914" t="s">
        <v>559</v>
      </c>
      <c r="Q23" s="1915"/>
      <c r="R23" s="1915"/>
      <c r="S23" s="1915"/>
      <c r="T23" s="1915"/>
      <c r="U23" s="1915"/>
      <c r="V23" s="1915"/>
      <c r="W23" s="1916"/>
      <c r="X23" s="871"/>
    </row>
    <row r="24" spans="1:24" ht="15.75" thickBot="1">
      <c r="A24" s="23"/>
      <c r="B24" s="58"/>
      <c r="C24" s="58"/>
      <c r="D24" s="35"/>
      <c r="E24" s="37"/>
      <c r="F24" s="34"/>
      <c r="G24" s="34"/>
      <c r="H24" s="34"/>
      <c r="I24" s="34"/>
      <c r="J24" s="34"/>
      <c r="K24" s="34"/>
      <c r="L24" s="34"/>
      <c r="M24" s="156"/>
      <c r="N24" s="524"/>
      <c r="P24" s="1914"/>
      <c r="Q24" s="1915"/>
      <c r="R24" s="1915"/>
      <c r="S24" s="1915"/>
      <c r="T24" s="1915"/>
      <c r="U24" s="1915"/>
      <c r="V24" s="1915"/>
      <c r="W24" s="1916"/>
      <c r="X24" s="1289"/>
    </row>
    <row r="25" spans="1:24" ht="15.75" thickBot="1">
      <c r="A25" s="1570" t="s">
        <v>98</v>
      </c>
      <c r="B25" s="59" t="s">
        <v>1</v>
      </c>
      <c r="C25" s="1573">
        <f>SUM(C26:C28)</f>
        <v>137597000</v>
      </c>
      <c r="D25" s="100">
        <f t="shared" ref="D25" si="12">SUM(D26:D28)</f>
        <v>562479.16666666663</v>
      </c>
      <c r="E25" s="1403">
        <f t="shared" ref="E25" si="13">SUM(E26:E28)</f>
        <v>14849450</v>
      </c>
      <c r="F25" s="1404">
        <f t="shared" ref="F25" si="14">SUM(F26:F28)</f>
        <v>16199400</v>
      </c>
      <c r="G25" s="1404">
        <f>SUM(G26:G28)</f>
        <v>17549350</v>
      </c>
      <c r="H25" s="1404">
        <f t="shared" ref="H25" si="15">SUM(H26:H28)</f>
        <v>18899300</v>
      </c>
      <c r="I25" s="1404">
        <f t="shared" ref="I25" si="16">SUM(I26:I28)</f>
        <v>20249250</v>
      </c>
      <c r="J25" s="121">
        <f t="shared" ref="J25" si="17">SUM(J26:J28)</f>
        <v>20654235</v>
      </c>
      <c r="K25" s="121">
        <f t="shared" ref="K25" si="18">SUM(K26:K28)</f>
        <v>21067319.699999999</v>
      </c>
      <c r="L25" s="121">
        <f t="shared" ref="L25" si="19">SUM(L26:L28)</f>
        <v>21488666.094000001</v>
      </c>
      <c r="M25" s="157">
        <f t="shared" ref="M25" si="20">SUM(M26:M28)</f>
        <v>21918439.415880002</v>
      </c>
      <c r="N25" s="429">
        <f>SUM(D25:M25)</f>
        <v>173437889.37654665</v>
      </c>
      <c r="P25" s="1914"/>
      <c r="Q25" s="1915"/>
      <c r="R25" s="1915"/>
      <c r="S25" s="1915"/>
      <c r="T25" s="1915"/>
      <c r="U25" s="1915"/>
      <c r="V25" s="1915"/>
      <c r="W25" s="1916"/>
      <c r="X25" s="1290"/>
    </row>
    <row r="26" spans="1:24" ht="16.5" thickTop="1" thickBot="1">
      <c r="A26" s="1571" t="s">
        <v>96</v>
      </c>
      <c r="B26" s="151"/>
      <c r="C26" s="1286">
        <v>134995000</v>
      </c>
      <c r="D26" s="1402">
        <f>(C26*0.05)/12</f>
        <v>562479.16666666663</v>
      </c>
      <c r="E26" s="1405">
        <f>C26*0.11</f>
        <v>14849450</v>
      </c>
      <c r="F26" s="1406">
        <f>C26*0.12</f>
        <v>16199400</v>
      </c>
      <c r="G26" s="1406">
        <f>C26*0.13</f>
        <v>17549350</v>
      </c>
      <c r="H26" s="1406">
        <f>C26*0.14</f>
        <v>18899300</v>
      </c>
      <c r="I26" s="1407">
        <f>C26*0.15</f>
        <v>20249250</v>
      </c>
      <c r="J26" s="1016">
        <f>I26*1.02</f>
        <v>20654235</v>
      </c>
      <c r="K26" s="1016">
        <f>J26*1.02</f>
        <v>21067319.699999999</v>
      </c>
      <c r="L26" s="1016">
        <f>K26*1.02</f>
        <v>21488666.094000001</v>
      </c>
      <c r="M26" s="1016">
        <f>L26*1.02</f>
        <v>21918439.415880002</v>
      </c>
      <c r="N26" s="1567">
        <f t="shared" ref="N26:N31" si="21">SUM(D26:M26)</f>
        <v>173437889.37654665</v>
      </c>
      <c r="P26" s="1917"/>
      <c r="Q26" s="1918"/>
      <c r="R26" s="1918"/>
      <c r="S26" s="1918"/>
      <c r="T26" s="1918"/>
      <c r="U26" s="1918"/>
      <c r="V26" s="1918"/>
      <c r="W26" s="1919"/>
      <c r="X26" s="1001"/>
    </row>
    <row r="27" spans="1:24" ht="15.75" thickTop="1">
      <c r="A27" s="154" t="s">
        <v>97</v>
      </c>
      <c r="B27" s="155"/>
      <c r="C27" s="1287">
        <v>268000</v>
      </c>
      <c r="D27" s="292">
        <f>E27*0.98/12*2</f>
        <v>0</v>
      </c>
      <c r="E27" s="126">
        <f>X27*12</f>
        <v>0</v>
      </c>
      <c r="F27" s="126">
        <f>E27*1.02</f>
        <v>0</v>
      </c>
      <c r="G27" s="126">
        <f t="shared" ref="G27:M27" si="22">F27*1.02</f>
        <v>0</v>
      </c>
      <c r="H27" s="126">
        <f t="shared" si="22"/>
        <v>0</v>
      </c>
      <c r="I27" s="126">
        <f t="shared" si="22"/>
        <v>0</v>
      </c>
      <c r="J27" s="126">
        <f t="shared" si="22"/>
        <v>0</v>
      </c>
      <c r="K27" s="126">
        <f t="shared" si="22"/>
        <v>0</v>
      </c>
      <c r="L27" s="126">
        <f t="shared" si="22"/>
        <v>0</v>
      </c>
      <c r="M27" s="861">
        <f t="shared" si="22"/>
        <v>0</v>
      </c>
      <c r="N27" s="1567">
        <f t="shared" si="21"/>
        <v>0</v>
      </c>
      <c r="P27" s="1288" t="s">
        <v>442</v>
      </c>
      <c r="Q27" s="401"/>
      <c r="R27" s="401"/>
      <c r="S27" s="402"/>
      <c r="T27" s="402"/>
      <c r="U27" s="402"/>
      <c r="V27" s="401"/>
      <c r="W27" s="431"/>
      <c r="X27" s="1292">
        <v>0</v>
      </c>
    </row>
    <row r="28" spans="1:24" ht="15.75" thickBot="1">
      <c r="A28" s="60" t="s">
        <v>95</v>
      </c>
      <c r="B28" s="55"/>
      <c r="C28" s="1291">
        <v>2334000</v>
      </c>
      <c r="D28" s="293">
        <f>E28*0.98/12*2</f>
        <v>0</v>
      </c>
      <c r="E28" s="470">
        <f>X28*12</f>
        <v>0</v>
      </c>
      <c r="F28" s="126">
        <f>E28*1.02</f>
        <v>0</v>
      </c>
      <c r="G28" s="126">
        <f t="shared" ref="G28:L28" si="23">F28*1.02</f>
        <v>0</v>
      </c>
      <c r="H28" s="126">
        <f t="shared" si="23"/>
        <v>0</v>
      </c>
      <c r="I28" s="126">
        <f t="shared" si="23"/>
        <v>0</v>
      </c>
      <c r="J28" s="126">
        <f t="shared" si="23"/>
        <v>0</v>
      </c>
      <c r="K28" s="126">
        <f t="shared" si="23"/>
        <v>0</v>
      </c>
      <c r="L28" s="126">
        <f t="shared" si="23"/>
        <v>0</v>
      </c>
      <c r="M28" s="861">
        <f t="shared" ref="M28" si="24">L28</f>
        <v>0</v>
      </c>
      <c r="N28" s="1567">
        <f t="shared" si="21"/>
        <v>0</v>
      </c>
      <c r="P28" s="417" t="s">
        <v>443</v>
      </c>
      <c r="S28"/>
      <c r="T28"/>
      <c r="U28"/>
      <c r="W28" s="317"/>
      <c r="X28" s="1293">
        <v>0</v>
      </c>
    </row>
    <row r="29" spans="1:24" ht="15.75" thickBot="1">
      <c r="A29" s="10" t="s">
        <v>63</v>
      </c>
      <c r="B29" s="59" t="s">
        <v>1</v>
      </c>
      <c r="C29" s="1577">
        <v>0</v>
      </c>
      <c r="D29" s="100">
        <f>'Provozní náklady'!D113-'Provozní výnosy'!D26</f>
        <v>846384.03974999988</v>
      </c>
      <c r="E29" s="124">
        <v>0</v>
      </c>
      <c r="F29" s="124">
        <v>0</v>
      </c>
      <c r="G29" s="124">
        <v>0</v>
      </c>
      <c r="H29" s="124">
        <v>0</v>
      </c>
      <c r="I29" s="124">
        <v>0</v>
      </c>
      <c r="J29" s="124">
        <v>0</v>
      </c>
      <c r="K29" s="124">
        <v>0</v>
      </c>
      <c r="L29" s="124">
        <v>0</v>
      </c>
      <c r="M29" s="122">
        <v>0</v>
      </c>
      <c r="N29" s="1567">
        <f t="shared" si="21"/>
        <v>846384.03974999988</v>
      </c>
      <c r="P29" s="404"/>
      <c r="Q29" s="405"/>
      <c r="R29" s="405"/>
      <c r="S29" s="406"/>
      <c r="T29" s="406"/>
      <c r="U29" s="406"/>
      <c r="V29" s="405"/>
      <c r="W29" s="328"/>
      <c r="X29" s="328"/>
    </row>
    <row r="30" spans="1:24" ht="15.75" thickBot="1">
      <c r="A30" s="23"/>
      <c r="B30" s="23"/>
      <c r="C30" s="23"/>
      <c r="D30" s="118"/>
      <c r="E30" s="141"/>
      <c r="F30" s="130"/>
      <c r="G30" s="130"/>
      <c r="H30" s="130"/>
      <c r="I30" s="130"/>
      <c r="J30" s="130"/>
      <c r="K30" s="130"/>
      <c r="L30" s="130"/>
      <c r="M30" s="862"/>
      <c r="N30" s="1567"/>
    </row>
    <row r="31" spans="1:24" ht="15.75" thickBot="1">
      <c r="A31" s="10" t="s">
        <v>175</v>
      </c>
      <c r="B31" s="59" t="s">
        <v>1</v>
      </c>
      <c r="C31" s="1573">
        <f>C25+C29</f>
        <v>137597000</v>
      </c>
      <c r="D31" s="100">
        <f t="shared" ref="D31:M31" si="25">D25+D29</f>
        <v>1408863.2064166665</v>
      </c>
      <c r="E31" s="124">
        <f t="shared" si="25"/>
        <v>14849450</v>
      </c>
      <c r="F31" s="121">
        <f t="shared" si="25"/>
        <v>16199400</v>
      </c>
      <c r="G31" s="121">
        <f t="shared" si="25"/>
        <v>17549350</v>
      </c>
      <c r="H31" s="121">
        <f t="shared" si="25"/>
        <v>18899300</v>
      </c>
      <c r="I31" s="121">
        <f t="shared" si="25"/>
        <v>20249250</v>
      </c>
      <c r="J31" s="121">
        <f t="shared" si="25"/>
        <v>20654235</v>
      </c>
      <c r="K31" s="121">
        <f t="shared" si="25"/>
        <v>21067319.699999999</v>
      </c>
      <c r="L31" s="121">
        <f t="shared" si="25"/>
        <v>21488666.094000001</v>
      </c>
      <c r="M31" s="157">
        <f t="shared" si="25"/>
        <v>21918439.415880002</v>
      </c>
      <c r="N31" s="429">
        <f t="shared" si="21"/>
        <v>174284273.41629666</v>
      </c>
      <c r="P31" s="1245"/>
      <c r="Q31" s="1245"/>
      <c r="R31" s="1245"/>
      <c r="S31" s="1245"/>
      <c r="T31" s="1245"/>
      <c r="U31" s="1245"/>
      <c r="V31" s="1245"/>
      <c r="W31" s="1245"/>
      <c r="X31" s="1245"/>
    </row>
    <row r="33" spans="1:31" ht="15.75" thickBot="1">
      <c r="A33" s="403"/>
      <c r="K33" s="1909" t="s">
        <v>176</v>
      </c>
      <c r="L33" s="1910"/>
      <c r="M33" s="865">
        <f>SUM(D31:M31)</f>
        <v>174284273.41629666</v>
      </c>
      <c r="N33" s="524"/>
    </row>
    <row r="34" spans="1:31" ht="15.75" thickBot="1">
      <c r="A34" s="403"/>
      <c r="M34" s="317"/>
      <c r="N34" s="524"/>
    </row>
    <row r="35" spans="1:31" ht="19.5" thickBot="1">
      <c r="A35" s="854" t="s">
        <v>633</v>
      </c>
      <c r="B35" s="523"/>
      <c r="C35" s="523"/>
      <c r="D35" s="523"/>
      <c r="E35" s="523"/>
      <c r="F35" s="523"/>
      <c r="G35" s="523"/>
      <c r="H35" s="523"/>
      <c r="I35" s="523"/>
      <c r="J35" s="523"/>
      <c r="K35" s="523"/>
      <c r="L35" s="523"/>
      <c r="M35" s="866"/>
      <c r="N35" s="524"/>
      <c r="P35" s="1245"/>
      <c r="Q35" s="1245"/>
      <c r="R35" s="1245"/>
      <c r="S35" s="1245"/>
      <c r="T35" s="1245"/>
      <c r="U35" s="1245"/>
      <c r="V35" s="1245"/>
      <c r="W35" s="1245"/>
      <c r="Y35" s="1920" t="s">
        <v>637</v>
      </c>
      <c r="Z35" s="1920"/>
      <c r="AA35" s="1920"/>
    </row>
    <row r="36" spans="1:31" ht="15.75" thickBot="1">
      <c r="A36" s="403"/>
      <c r="M36" s="317"/>
      <c r="N36" s="524"/>
      <c r="P36" s="1245"/>
      <c r="Q36" s="1245"/>
      <c r="R36" s="1245"/>
      <c r="S36" s="1245"/>
      <c r="T36" s="1245"/>
      <c r="U36" s="1245"/>
      <c r="V36" s="1245"/>
      <c r="W36" s="1245"/>
    </row>
    <row r="37" spans="1:31" ht="15.75" thickBot="1">
      <c r="A37" s="36" t="s">
        <v>64</v>
      </c>
      <c r="B37" s="56" t="s">
        <v>14</v>
      </c>
      <c r="C37" s="1255">
        <v>2023</v>
      </c>
      <c r="D37" s="28">
        <v>2025</v>
      </c>
      <c r="E37" s="32">
        <v>2026</v>
      </c>
      <c r="F37" s="32">
        <v>2027</v>
      </c>
      <c r="G37" s="32">
        <v>2028</v>
      </c>
      <c r="H37" s="32">
        <v>2029</v>
      </c>
      <c r="I37" s="32">
        <v>2030</v>
      </c>
      <c r="J37" s="32">
        <v>2031</v>
      </c>
      <c r="K37" s="32">
        <v>2032</v>
      </c>
      <c r="L37" s="32">
        <v>2033</v>
      </c>
      <c r="M37" s="32">
        <v>2034</v>
      </c>
      <c r="N37" s="594" t="s">
        <v>162</v>
      </c>
      <c r="P37" s="1245"/>
      <c r="Q37" s="1245"/>
      <c r="R37" s="1245"/>
      <c r="S37" s="1245"/>
      <c r="T37" s="1245"/>
      <c r="U37" s="1245"/>
      <c r="V37" s="1245"/>
      <c r="W37" s="1245"/>
      <c r="Y37" s="1881" t="s">
        <v>361</v>
      </c>
      <c r="Z37" s="1882"/>
      <c r="AA37" s="1883"/>
    </row>
    <row r="38" spans="1:31" ht="44.25" customHeight="1" thickBot="1">
      <c r="A38" s="13"/>
      <c r="B38" s="57"/>
      <c r="C38" s="1540" t="s">
        <v>535</v>
      </c>
      <c r="D38" s="872" t="s">
        <v>429</v>
      </c>
      <c r="E38" s="873" t="s">
        <v>40</v>
      </c>
      <c r="F38" s="873" t="s">
        <v>40</v>
      </c>
      <c r="G38" s="873" t="s">
        <v>40</v>
      </c>
      <c r="H38" s="873" t="s">
        <v>40</v>
      </c>
      <c r="I38" s="873" t="s">
        <v>40</v>
      </c>
      <c r="J38" s="873" t="s">
        <v>40</v>
      </c>
      <c r="K38" s="873" t="s">
        <v>40</v>
      </c>
      <c r="L38" s="873" t="s">
        <v>40</v>
      </c>
      <c r="M38" s="874" t="s">
        <v>40</v>
      </c>
      <c r="N38" s="524"/>
      <c r="P38" s="1245"/>
      <c r="Q38" s="1245"/>
      <c r="R38" s="1245"/>
      <c r="S38" s="1245"/>
      <c r="T38" s="1246"/>
      <c r="U38" s="1245"/>
      <c r="V38" s="1245"/>
      <c r="W38" s="1245"/>
      <c r="Y38" s="1884"/>
      <c r="Z38" s="1885"/>
      <c r="AA38" s="1886"/>
    </row>
    <row r="39" spans="1:31" ht="16.5" thickBot="1">
      <c r="A39" s="857" t="s">
        <v>309</v>
      </c>
      <c r="B39" s="679" t="s">
        <v>2</v>
      </c>
      <c r="C39" s="1539" t="s">
        <v>622</v>
      </c>
      <c r="D39" s="1257" t="s">
        <v>430</v>
      </c>
      <c r="E39" s="1258">
        <v>12</v>
      </c>
      <c r="F39" s="1259">
        <v>12</v>
      </c>
      <c r="G39" s="1259">
        <v>12</v>
      </c>
      <c r="H39" s="1259">
        <v>12</v>
      </c>
      <c r="I39" s="1259">
        <v>12</v>
      </c>
      <c r="J39" s="1259">
        <v>12</v>
      </c>
      <c r="K39" s="1259">
        <v>12</v>
      </c>
      <c r="L39" s="1259">
        <v>12</v>
      </c>
      <c r="M39" s="1260">
        <v>12</v>
      </c>
      <c r="N39" s="524"/>
      <c r="Y39" s="1002" t="s">
        <v>417</v>
      </c>
      <c r="Z39" s="1921" t="s">
        <v>1</v>
      </c>
      <c r="AA39" s="1922"/>
      <c r="AB39" s="2" t="s">
        <v>418</v>
      </c>
    </row>
    <row r="40" spans="1:31" ht="15.75" customHeight="1" thickBot="1">
      <c r="A40" s="23"/>
      <c r="B40" s="58"/>
      <c r="C40" s="58"/>
      <c r="D40" s="35"/>
      <c r="E40" s="37"/>
      <c r="F40" s="34"/>
      <c r="G40" s="34"/>
      <c r="H40" s="34"/>
      <c r="I40" s="34"/>
      <c r="J40" s="34"/>
      <c r="K40" s="34"/>
      <c r="L40" s="34"/>
      <c r="M40" s="156"/>
      <c r="N40" s="524"/>
      <c r="Q40" s="1317"/>
      <c r="Y40" s="1003" t="s">
        <v>362</v>
      </c>
      <c r="Z40" s="1895">
        <v>2940</v>
      </c>
      <c r="AA40" s="1896"/>
      <c r="AB40" s="2" t="s">
        <v>379</v>
      </c>
    </row>
    <row r="41" spans="1:31" ht="15.75" customHeight="1" thickBot="1">
      <c r="A41" s="10" t="s">
        <v>98</v>
      </c>
      <c r="B41" s="59" t="s">
        <v>1</v>
      </c>
      <c r="C41" s="1573">
        <f>C25-C9</f>
        <v>0</v>
      </c>
      <c r="D41" s="100">
        <f t="shared" ref="D41:M41" si="26">D25-D9</f>
        <v>562479.16666666663</v>
      </c>
      <c r="E41" s="124">
        <f t="shared" si="26"/>
        <v>14849450</v>
      </c>
      <c r="F41" s="121">
        <f t="shared" si="26"/>
        <v>16199400</v>
      </c>
      <c r="G41" s="121">
        <f t="shared" si="26"/>
        <v>17549350</v>
      </c>
      <c r="H41" s="121">
        <f t="shared" si="26"/>
        <v>18899300</v>
      </c>
      <c r="I41" s="121">
        <f t="shared" si="26"/>
        <v>20249250</v>
      </c>
      <c r="J41" s="121">
        <f t="shared" si="26"/>
        <v>20654235</v>
      </c>
      <c r="K41" s="121">
        <f t="shared" si="26"/>
        <v>21067319.699999999</v>
      </c>
      <c r="L41" s="121">
        <f t="shared" si="26"/>
        <v>21488666.094000001</v>
      </c>
      <c r="M41" s="157">
        <f t="shared" si="26"/>
        <v>21918439.415880002</v>
      </c>
      <c r="N41" s="429">
        <f>SUM(D41:M41)</f>
        <v>173437889.37654665</v>
      </c>
      <c r="Y41" s="1003" t="s">
        <v>419</v>
      </c>
      <c r="Z41" s="1895">
        <v>980</v>
      </c>
      <c r="AA41" s="1896"/>
      <c r="AB41" s="2" t="s">
        <v>380</v>
      </c>
    </row>
    <row r="42" spans="1:31" ht="15.75" customHeight="1" thickTop="1" thickBot="1">
      <c r="A42" s="1571" t="s">
        <v>96</v>
      </c>
      <c r="B42" s="151"/>
      <c r="C42" s="1572">
        <f>C26-C10</f>
        <v>0</v>
      </c>
      <c r="D42" s="160">
        <f t="shared" ref="D42:M42" si="27">D26-D10</f>
        <v>562479.16666666663</v>
      </c>
      <c r="E42" s="1405">
        <f t="shared" si="27"/>
        <v>14849450</v>
      </c>
      <c r="F42" s="1406">
        <f t="shared" si="27"/>
        <v>16199400</v>
      </c>
      <c r="G42" s="1406">
        <f t="shared" si="27"/>
        <v>17549350</v>
      </c>
      <c r="H42" s="1406">
        <f t="shared" si="27"/>
        <v>18899300</v>
      </c>
      <c r="I42" s="1407">
        <f t="shared" si="27"/>
        <v>20249250</v>
      </c>
      <c r="J42" s="153">
        <f t="shared" si="27"/>
        <v>20654235</v>
      </c>
      <c r="K42" s="153">
        <f t="shared" si="27"/>
        <v>21067319.699999999</v>
      </c>
      <c r="L42" s="153">
        <f t="shared" si="27"/>
        <v>21488666.094000001</v>
      </c>
      <c r="M42" s="158">
        <f t="shared" si="27"/>
        <v>21918439.415880002</v>
      </c>
      <c r="N42" s="1083">
        <f t="shared" ref="N42:N47" si="28">SUM(D42:M42)</f>
        <v>173437889.37654665</v>
      </c>
      <c r="P42" s="1245"/>
      <c r="Q42" s="1245"/>
      <c r="R42" s="1245"/>
      <c r="S42" s="1245"/>
      <c r="T42" s="1245"/>
      <c r="U42" s="1245"/>
      <c r="V42" s="1245"/>
      <c r="W42" s="1245"/>
      <c r="Y42" s="1003" t="s">
        <v>363</v>
      </c>
      <c r="Z42" s="1895">
        <f>23500*2/10</f>
        <v>4700</v>
      </c>
      <c r="AA42" s="1896"/>
      <c r="AB42" s="2" t="s">
        <v>381</v>
      </c>
    </row>
    <row r="43" spans="1:31" ht="15.75" customHeight="1" thickTop="1">
      <c r="A43" s="154" t="s">
        <v>97</v>
      </c>
      <c r="B43" s="155"/>
      <c r="C43" s="1287">
        <f>C27-C11</f>
        <v>0</v>
      </c>
      <c r="D43" s="96">
        <f t="shared" ref="D43:M43" si="29">D27-D11</f>
        <v>0</v>
      </c>
      <c r="E43" s="125">
        <f t="shared" si="29"/>
        <v>0</v>
      </c>
      <c r="F43" s="126">
        <f t="shared" si="29"/>
        <v>0</v>
      </c>
      <c r="G43" s="126">
        <f t="shared" si="29"/>
        <v>0</v>
      </c>
      <c r="H43" s="126">
        <f t="shared" si="29"/>
        <v>0</v>
      </c>
      <c r="I43" s="126">
        <f t="shared" si="29"/>
        <v>0</v>
      </c>
      <c r="J43" s="126">
        <f t="shared" si="29"/>
        <v>0</v>
      </c>
      <c r="K43" s="126">
        <f t="shared" si="29"/>
        <v>0</v>
      </c>
      <c r="L43" s="126">
        <f t="shared" si="29"/>
        <v>0</v>
      </c>
      <c r="M43" s="861">
        <f t="shared" si="29"/>
        <v>0</v>
      </c>
      <c r="N43" s="1567">
        <f t="shared" si="28"/>
        <v>0</v>
      </c>
      <c r="P43" s="1245"/>
      <c r="Q43" s="1245"/>
      <c r="R43" s="1316"/>
      <c r="S43" s="1245"/>
      <c r="T43" s="1245"/>
      <c r="U43" s="1245"/>
      <c r="V43" s="1245"/>
      <c r="W43" s="1245"/>
      <c r="Y43" s="1003" t="s">
        <v>421</v>
      </c>
      <c r="Z43" s="1895">
        <f>Z42*0.2</f>
        <v>940</v>
      </c>
      <c r="AA43" s="1896"/>
      <c r="AB43" s="2" t="s">
        <v>382</v>
      </c>
    </row>
    <row r="44" spans="1:31" ht="15.75" customHeight="1" thickBot="1">
      <c r="A44" s="60" t="s">
        <v>95</v>
      </c>
      <c r="B44" s="55"/>
      <c r="C44" s="332">
        <f>C28-C12</f>
        <v>0</v>
      </c>
      <c r="D44" s="123">
        <f t="shared" ref="D44:M44" si="30">D28-D12</f>
        <v>0</v>
      </c>
      <c r="E44" s="125">
        <f t="shared" si="30"/>
        <v>0</v>
      </c>
      <c r="F44" s="126">
        <f t="shared" si="30"/>
        <v>0</v>
      </c>
      <c r="G44" s="126">
        <f t="shared" si="30"/>
        <v>0</v>
      </c>
      <c r="H44" s="126">
        <f t="shared" si="30"/>
        <v>0</v>
      </c>
      <c r="I44" s="126">
        <f t="shared" si="30"/>
        <v>0</v>
      </c>
      <c r="J44" s="126">
        <f t="shared" si="30"/>
        <v>0</v>
      </c>
      <c r="K44" s="126">
        <f t="shared" si="30"/>
        <v>0</v>
      </c>
      <c r="L44" s="126">
        <f t="shared" si="30"/>
        <v>0</v>
      </c>
      <c r="M44" s="861">
        <f t="shared" si="30"/>
        <v>0</v>
      </c>
      <c r="N44" s="1567">
        <f t="shared" si="28"/>
        <v>0</v>
      </c>
      <c r="P44" s="1245"/>
      <c r="Q44" s="1245"/>
      <c r="R44" s="1245"/>
      <c r="S44" s="1245"/>
      <c r="T44" s="1245"/>
      <c r="U44" s="1245"/>
      <c r="V44" s="1245"/>
      <c r="W44" s="1245"/>
      <c r="Y44" s="1004" t="s">
        <v>420</v>
      </c>
      <c r="Z44" s="1879">
        <f>SUM(Z40:Z43)</f>
        <v>9560</v>
      </c>
      <c r="AA44" s="1880"/>
    </row>
    <row r="45" spans="1:31" ht="15.75" customHeight="1" thickBot="1">
      <c r="A45" s="10" t="s">
        <v>63</v>
      </c>
      <c r="B45" s="59" t="s">
        <v>1</v>
      </c>
      <c r="C45" s="1577">
        <f>C29-C13</f>
        <v>0</v>
      </c>
      <c r="D45" s="1464">
        <f t="shared" ref="D45:M45" si="31">D29-D13</f>
        <v>846384.03974999988</v>
      </c>
      <c r="E45" s="124">
        <f t="shared" si="31"/>
        <v>0</v>
      </c>
      <c r="F45" s="124">
        <f t="shared" si="31"/>
        <v>0</v>
      </c>
      <c r="G45" s="124">
        <f t="shared" si="31"/>
        <v>0</v>
      </c>
      <c r="H45" s="124">
        <f t="shared" si="31"/>
        <v>0</v>
      </c>
      <c r="I45" s="124">
        <f t="shared" si="31"/>
        <v>0</v>
      </c>
      <c r="J45" s="124">
        <f t="shared" si="31"/>
        <v>0</v>
      </c>
      <c r="K45" s="124">
        <f t="shared" si="31"/>
        <v>0</v>
      </c>
      <c r="L45" s="124">
        <f t="shared" si="31"/>
        <v>0</v>
      </c>
      <c r="M45" s="122">
        <f t="shared" si="31"/>
        <v>0</v>
      </c>
      <c r="N45" s="1567">
        <f t="shared" si="28"/>
        <v>846384.03974999988</v>
      </c>
      <c r="P45" s="1245"/>
      <c r="Q45" s="1245"/>
      <c r="R45" s="1245"/>
      <c r="S45" s="1245"/>
      <c r="T45" s="1246"/>
      <c r="U45" s="1245"/>
      <c r="V45" s="1245"/>
      <c r="W45" s="1245"/>
      <c r="Y45" s="1003" t="s">
        <v>388</v>
      </c>
      <c r="Z45" s="1895">
        <f>Z44*0.1</f>
        <v>956</v>
      </c>
      <c r="AA45" s="1896"/>
      <c r="AB45" s="497" t="s">
        <v>387</v>
      </c>
    </row>
    <row r="46" spans="1:31" ht="15.75" customHeight="1" thickBot="1">
      <c r="A46" s="23"/>
      <c r="B46" s="23"/>
      <c r="C46" s="23"/>
      <c r="D46" s="118"/>
      <c r="E46" s="141"/>
      <c r="F46" s="130"/>
      <c r="G46" s="130"/>
      <c r="H46" s="130"/>
      <c r="I46" s="130"/>
      <c r="J46" s="130"/>
      <c r="K46" s="130"/>
      <c r="L46" s="130"/>
      <c r="M46" s="862"/>
      <c r="N46" s="1567"/>
      <c r="Y46" s="1005" t="s">
        <v>364</v>
      </c>
      <c r="Z46" s="1897">
        <f>Z44+Z45</f>
        <v>10516</v>
      </c>
      <c r="AA46" s="1898"/>
    </row>
    <row r="47" spans="1:31" ht="15.75" customHeight="1" thickBot="1">
      <c r="A47" s="10" t="s">
        <v>175</v>
      </c>
      <c r="B47" s="59" t="s">
        <v>1</v>
      </c>
      <c r="C47" s="1266">
        <f>C31-C15</f>
        <v>0</v>
      </c>
      <c r="D47" s="100">
        <f t="shared" ref="D47:M47" si="32">D31-D15</f>
        <v>1408863.2064166665</v>
      </c>
      <c r="E47" s="124">
        <f t="shared" si="32"/>
        <v>14849450</v>
      </c>
      <c r="F47" s="121">
        <f t="shared" si="32"/>
        <v>16199400</v>
      </c>
      <c r="G47" s="121">
        <f t="shared" si="32"/>
        <v>17549350</v>
      </c>
      <c r="H47" s="121">
        <f t="shared" si="32"/>
        <v>18899300</v>
      </c>
      <c r="I47" s="121">
        <f t="shared" si="32"/>
        <v>20249250</v>
      </c>
      <c r="J47" s="121">
        <f t="shared" si="32"/>
        <v>20654235</v>
      </c>
      <c r="K47" s="121">
        <f t="shared" si="32"/>
        <v>21067319.699999999</v>
      </c>
      <c r="L47" s="121">
        <f t="shared" si="32"/>
        <v>21488666.094000001</v>
      </c>
      <c r="M47" s="157">
        <f t="shared" si="32"/>
        <v>21918439.415880002</v>
      </c>
      <c r="N47" s="1080">
        <f t="shared" si="28"/>
        <v>174284273.41629666</v>
      </c>
      <c r="Y47" s="1003" t="s">
        <v>390</v>
      </c>
      <c r="Z47" s="1889">
        <f>AD47/12</f>
        <v>83.333333333333329</v>
      </c>
      <c r="AA47" s="1890"/>
      <c r="AB47" s="2" t="s">
        <v>389</v>
      </c>
      <c r="AD47">
        <v>1000</v>
      </c>
      <c r="AE47" s="2" t="s">
        <v>105</v>
      </c>
    </row>
    <row r="48" spans="1:31" ht="15.75" thickBot="1">
      <c r="A48" s="403"/>
      <c r="M48" s="317"/>
      <c r="Y48" s="1006" t="s">
        <v>365</v>
      </c>
      <c r="Z48" s="1891">
        <f>Z46*Z47</f>
        <v>876333.33333333326</v>
      </c>
      <c r="AA48" s="1892"/>
    </row>
    <row r="49" spans="1:27" ht="15.75" thickBot="1">
      <c r="A49" s="404"/>
      <c r="B49" s="405"/>
      <c r="C49" s="405"/>
      <c r="D49" s="405"/>
      <c r="E49" s="405"/>
      <c r="F49" s="405"/>
      <c r="G49" s="405"/>
      <c r="H49" s="405"/>
      <c r="I49" s="405"/>
      <c r="J49" s="405"/>
      <c r="K49" s="1778" t="s">
        <v>176</v>
      </c>
      <c r="L49" s="1779"/>
      <c r="M49" s="856">
        <f>SUM(D47:M47)</f>
        <v>174284273.41629666</v>
      </c>
      <c r="Y49" s="1007"/>
      <c r="Z49" s="1893"/>
      <c r="AA49" s="1894"/>
    </row>
    <row r="50" spans="1:27" ht="15.75" thickBot="1">
      <c r="A50" s="330"/>
      <c r="Y50" s="1006" t="s">
        <v>366</v>
      </c>
      <c r="Z50" s="1887">
        <f>Z48*12</f>
        <v>10516000</v>
      </c>
      <c r="AA50" s="1888"/>
    </row>
    <row r="51" spans="1:27" ht="15.75" thickBot="1">
      <c r="A51" s="330" t="s">
        <v>671</v>
      </c>
      <c r="Y51" s="1007"/>
      <c r="Z51" s="1893"/>
      <c r="AA51" s="1894"/>
    </row>
    <row r="52" spans="1:27" ht="15.75" thickBot="1">
      <c r="P52" s="1247"/>
      <c r="Y52" s="1006" t="s">
        <v>367</v>
      </c>
      <c r="Z52" s="1887">
        <v>10500000</v>
      </c>
      <c r="AA52" s="1888"/>
    </row>
  </sheetData>
  <protectedRanges>
    <protectedRange algorithmName="SHA-512" hashValue="MjNtHVzuFbe1H40T7Y+qa4vFnBI0V4g4ZmyWg07jcgi4zk00WBk/C4690HKuUuULjXY4XgLx9f5OwayhnwVgcA==" saltValue="bHhnmqQlJbZDgyDQo3wNgw==" spinCount="100000" sqref="X10:X12 X26:X28 D10:E13 D26:E29" name="Oblast1"/>
  </protectedRanges>
  <mergeCells count="24">
    <mergeCell ref="Y35:AA35"/>
    <mergeCell ref="Z39:AA39"/>
    <mergeCell ref="Z40:AA40"/>
    <mergeCell ref="Z41:AA41"/>
    <mergeCell ref="Z42:AA42"/>
    <mergeCell ref="P21:W21"/>
    <mergeCell ref="P5:Q5"/>
    <mergeCell ref="K49:L49"/>
    <mergeCell ref="P7:X9"/>
    <mergeCell ref="K17:L17"/>
    <mergeCell ref="K33:L33"/>
    <mergeCell ref="P22:W22"/>
    <mergeCell ref="P23:W26"/>
    <mergeCell ref="Z44:AA44"/>
    <mergeCell ref="Y37:AA38"/>
    <mergeCell ref="Z52:AA52"/>
    <mergeCell ref="Z47:AA47"/>
    <mergeCell ref="Z48:AA48"/>
    <mergeCell ref="Z49:AA49"/>
    <mergeCell ref="Z50:AA50"/>
    <mergeCell ref="Z51:AA51"/>
    <mergeCell ref="Z45:AA45"/>
    <mergeCell ref="Z46:AA46"/>
    <mergeCell ref="Z43:AA43"/>
  </mergeCells>
  <pageMargins left="0.7" right="0.7" top="0.78740157499999996" bottom="0.78740157499999996" header="0.3" footer="0.3"/>
  <pageSetup paperSize="9" scale="55" orientation="landscape" r:id="rId1"/>
  <ignoredErrors>
    <ignoredError sqref="D9:E9 C25:E25 G9:L9 G25:M25 Z44" formulaRange="1"/>
    <ignoredError sqref="F25 F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  <pageSetUpPr fitToPage="1"/>
  </sheetPr>
  <dimension ref="A1:ED140"/>
  <sheetViews>
    <sheetView showGridLines="0" topLeftCell="A37" zoomScale="90" zoomScaleNormal="90" workbookViewId="0">
      <selection activeCell="P81" sqref="P81"/>
    </sheetView>
  </sheetViews>
  <sheetFormatPr defaultRowHeight="15"/>
  <cols>
    <col min="1" max="2" width="17.28515625" customWidth="1"/>
    <col min="3" max="11" width="19.5703125" customWidth="1"/>
    <col min="12" max="12" width="19.140625" customWidth="1"/>
    <col min="13" max="13" width="14.7109375" bestFit="1" customWidth="1"/>
    <col min="14" max="14" width="20.5703125" bestFit="1" customWidth="1"/>
    <col min="15" max="15" width="19.28515625" customWidth="1"/>
    <col min="16" max="16" width="18" customWidth="1"/>
    <col min="17" max="17" width="19.28515625" customWidth="1"/>
    <col min="18" max="18" width="18.5703125" customWidth="1"/>
    <col min="19" max="19" width="16.5703125" bestFit="1" customWidth="1"/>
    <col min="20" max="30" width="14.7109375" bestFit="1" customWidth="1"/>
    <col min="31" max="31" width="16.140625" bestFit="1" customWidth="1"/>
    <col min="32" max="32" width="16.28515625" bestFit="1" customWidth="1"/>
  </cols>
  <sheetData>
    <row r="1" spans="1:134" ht="15.75">
      <c r="A1" s="1604" t="str">
        <f>'Položkový rozpočet projektu'!A1:A1</f>
        <v>Modelový projekt: "Zvýšení technologické vybavenosti společnosti Šroub &amp; Matka, spol. s r.o. v Ostravě"</v>
      </c>
      <c r="B1" s="1608"/>
      <c r="C1" s="6"/>
      <c r="D1" s="6"/>
      <c r="E1" s="1609"/>
      <c r="F1" s="1609"/>
      <c r="G1" s="2"/>
      <c r="H1" s="595"/>
    </row>
    <row r="2" spans="1:134" ht="15.75" thickBot="1">
      <c r="A2" s="8"/>
      <c r="C2" s="3"/>
      <c r="D2" s="3"/>
      <c r="E2" s="2"/>
      <c r="F2" s="2"/>
      <c r="G2" s="2"/>
      <c r="H2" s="595"/>
    </row>
    <row r="3" spans="1:134" ht="19.5" thickBot="1">
      <c r="A3" s="755" t="s">
        <v>634</v>
      </c>
      <c r="B3" s="756"/>
      <c r="C3" s="756"/>
      <c r="D3" s="757"/>
      <c r="E3" s="89"/>
      <c r="F3" s="89"/>
      <c r="G3" s="89"/>
      <c r="H3" s="89"/>
      <c r="I3" s="89"/>
      <c r="J3" s="89"/>
      <c r="K3" s="61"/>
    </row>
    <row r="4" spans="1:134">
      <c r="A4" s="5"/>
      <c r="B4" s="5"/>
      <c r="C4" s="5"/>
      <c r="D4" s="5"/>
    </row>
    <row r="5" spans="1:134" ht="21">
      <c r="A5" s="1928" t="s">
        <v>196</v>
      </c>
      <c r="B5" s="1928"/>
      <c r="C5" s="1928"/>
      <c r="D5" s="1928"/>
      <c r="E5" s="1928"/>
      <c r="F5" s="1928"/>
      <c r="G5" s="1928"/>
      <c r="H5" s="1928"/>
      <c r="I5" s="1928"/>
      <c r="J5" s="1928"/>
      <c r="K5" s="1928"/>
    </row>
    <row r="6" spans="1:134">
      <c r="A6" s="5"/>
      <c r="B6" s="5"/>
      <c r="C6" s="5"/>
      <c r="D6" s="5"/>
    </row>
    <row r="7" spans="1:134" ht="16.5" thickBot="1">
      <c r="A7" s="240" t="s">
        <v>124</v>
      </c>
      <c r="B7" s="239"/>
      <c r="C7" s="5"/>
      <c r="D7" s="5"/>
    </row>
    <row r="8" spans="1:134" ht="15.75" thickBot="1">
      <c r="A8" s="440" t="s">
        <v>86</v>
      </c>
      <c r="B8" s="517" t="s">
        <v>23</v>
      </c>
      <c r="C8" s="517" t="s">
        <v>22</v>
      </c>
      <c r="D8" s="517" t="s">
        <v>21</v>
      </c>
      <c r="E8" s="517" t="s">
        <v>20</v>
      </c>
      <c r="F8" s="517" t="s">
        <v>19</v>
      </c>
      <c r="G8" s="517" t="s">
        <v>90</v>
      </c>
      <c r="H8" s="517" t="s">
        <v>18</v>
      </c>
      <c r="I8" s="517" t="s">
        <v>17</v>
      </c>
      <c r="J8" s="517" t="s">
        <v>16</v>
      </c>
      <c r="K8" s="517" t="s">
        <v>15</v>
      </c>
    </row>
    <row r="9" spans="1:134" ht="15.75" thickBot="1">
      <c r="A9" s="439" t="s">
        <v>184</v>
      </c>
      <c r="B9" s="518">
        <v>2025</v>
      </c>
      <c r="C9" s="518">
        <v>2026</v>
      </c>
      <c r="D9" s="518">
        <v>2027</v>
      </c>
      <c r="E9" s="518">
        <v>2028</v>
      </c>
      <c r="F9" s="518">
        <v>2029</v>
      </c>
      <c r="G9" s="518">
        <v>2030</v>
      </c>
      <c r="H9" s="518">
        <v>2031</v>
      </c>
      <c r="I9" s="518">
        <v>2032</v>
      </c>
      <c r="J9" s="518">
        <v>2033</v>
      </c>
      <c r="K9" s="518">
        <v>2034</v>
      </c>
    </row>
    <row r="10" spans="1:134">
      <c r="A10" s="444" t="s">
        <v>587</v>
      </c>
      <c r="B10" s="519">
        <f>'Zdroje financování'!W18</f>
        <v>0</v>
      </c>
      <c r="C10" s="519"/>
      <c r="D10" s="519"/>
      <c r="E10" s="519"/>
      <c r="F10" s="519"/>
      <c r="G10" s="519"/>
      <c r="H10" s="519"/>
      <c r="I10" s="519"/>
      <c r="J10" s="519"/>
      <c r="K10" s="519"/>
    </row>
    <row r="11" spans="1:134" ht="15.75" thickBot="1">
      <c r="A11" s="447" t="s">
        <v>197</v>
      </c>
      <c r="B11" s="520">
        <f>'Investiční náklady_vznik'!D8</f>
        <v>0</v>
      </c>
      <c r="C11" s="520"/>
      <c r="D11" s="520"/>
      <c r="E11" s="520"/>
      <c r="F11" s="520"/>
      <c r="G11" s="520"/>
      <c r="H11" s="520"/>
      <c r="I11" s="520"/>
      <c r="J11" s="520"/>
      <c r="K11" s="520"/>
    </row>
    <row r="12" spans="1:134" ht="15.75" thickBot="1">
      <c r="A12" s="529" t="s">
        <v>88</v>
      </c>
      <c r="B12" s="530">
        <f>B10-B11</f>
        <v>0</v>
      </c>
      <c r="C12" s="530"/>
      <c r="D12" s="530"/>
      <c r="E12" s="530"/>
      <c r="F12" s="530"/>
      <c r="G12" s="530"/>
      <c r="H12" s="530"/>
      <c r="I12" s="530"/>
      <c r="J12" s="530"/>
      <c r="K12" s="530"/>
    </row>
    <row r="13" spans="1:134">
      <c r="A13" s="5"/>
      <c r="B13" s="5"/>
      <c r="C13" s="5"/>
      <c r="D13" s="5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</row>
    <row r="14" spans="1:134" ht="15.75" thickBot="1">
      <c r="A14" s="142" t="s">
        <v>116</v>
      </c>
      <c r="B14" s="142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</row>
    <row r="15" spans="1:134" ht="15.75" thickBot="1">
      <c r="A15" s="440" t="s">
        <v>86</v>
      </c>
      <c r="B15" s="517" t="s">
        <v>23</v>
      </c>
      <c r="C15" s="517" t="s">
        <v>22</v>
      </c>
      <c r="D15" s="517" t="s">
        <v>21</v>
      </c>
      <c r="E15" s="517" t="s">
        <v>20</v>
      </c>
      <c r="F15" s="517" t="s">
        <v>19</v>
      </c>
      <c r="G15" s="517" t="s">
        <v>90</v>
      </c>
      <c r="H15" s="517" t="s">
        <v>18</v>
      </c>
      <c r="I15" s="517" t="s">
        <v>17</v>
      </c>
      <c r="J15" s="517" t="s">
        <v>16</v>
      </c>
      <c r="K15" s="517" t="s">
        <v>15</v>
      </c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</row>
    <row r="16" spans="1:134" s="89" customFormat="1" ht="15.75" thickBot="1">
      <c r="A16" s="439"/>
      <c r="B16" s="518">
        <v>2025</v>
      </c>
      <c r="C16" s="518">
        <v>2026</v>
      </c>
      <c r="D16" s="518">
        <v>2027</v>
      </c>
      <c r="E16" s="518">
        <v>2028</v>
      </c>
      <c r="F16" s="518">
        <v>2029</v>
      </c>
      <c r="G16" s="518">
        <v>2030</v>
      </c>
      <c r="H16" s="518">
        <v>2031</v>
      </c>
      <c r="I16" s="518">
        <v>2032</v>
      </c>
      <c r="J16" s="518">
        <v>2033</v>
      </c>
      <c r="K16" s="518">
        <v>2034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</row>
    <row r="17" spans="1:134">
      <c r="A17" s="444" t="s">
        <v>587</v>
      </c>
      <c r="B17" s="519">
        <f>'Zdroje financování'!W31</f>
        <v>13934208</v>
      </c>
      <c r="C17" s="519"/>
      <c r="D17" s="519"/>
      <c r="E17" s="519"/>
      <c r="F17" s="519"/>
      <c r="G17" s="519"/>
      <c r="H17" s="519"/>
      <c r="I17" s="519"/>
      <c r="J17" s="519"/>
      <c r="K17" s="519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</row>
    <row r="18" spans="1:134" ht="15.75" thickBot="1">
      <c r="A18" s="447" t="s">
        <v>197</v>
      </c>
      <c r="B18" s="520">
        <f>'Investiční náklady_úhrada'!D31</f>
        <v>13934208</v>
      </c>
      <c r="C18" s="520"/>
      <c r="D18" s="520"/>
      <c r="E18" s="520"/>
      <c r="F18" s="520"/>
      <c r="G18" s="520"/>
      <c r="H18" s="520"/>
      <c r="I18" s="520"/>
      <c r="J18" s="520"/>
      <c r="K18" s="520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</row>
    <row r="19" spans="1:134" ht="15.75" thickBot="1">
      <c r="A19" s="529" t="s">
        <v>88</v>
      </c>
      <c r="B19" s="530">
        <f>B17-B18</f>
        <v>0</v>
      </c>
      <c r="C19" s="530"/>
      <c r="D19" s="530"/>
      <c r="E19" s="530"/>
      <c r="F19" s="530"/>
      <c r="G19" s="530"/>
      <c r="H19" s="530"/>
      <c r="I19" s="530"/>
      <c r="J19" s="530"/>
      <c r="K19" s="530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</row>
    <row r="20" spans="1:134">
      <c r="A20" t="s">
        <v>586</v>
      </c>
      <c r="B20" s="238"/>
      <c r="C20" s="238"/>
      <c r="D20" s="90"/>
      <c r="E20" s="90"/>
      <c r="F20" s="90"/>
      <c r="G20" s="90"/>
      <c r="H20" s="90"/>
      <c r="I20" s="90"/>
      <c r="J20" s="90"/>
      <c r="K20" s="90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</row>
    <row r="21" spans="1:134">
      <c r="B21" s="238"/>
      <c r="C21" s="238"/>
      <c r="D21" s="90"/>
      <c r="E21" s="90"/>
      <c r="F21" s="90"/>
      <c r="G21" s="90"/>
      <c r="H21" s="90"/>
      <c r="I21" s="90"/>
      <c r="J21" s="90"/>
      <c r="K21" s="90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</row>
    <row r="22" spans="1:134" ht="15.75" thickBot="1">
      <c r="A22" s="208" t="s">
        <v>25</v>
      </c>
      <c r="B22" s="208"/>
      <c r="C22" s="5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</row>
    <row r="23" spans="1:134" ht="15.75" thickBot="1">
      <c r="A23" s="440" t="s">
        <v>86</v>
      </c>
      <c r="B23" s="438" t="s">
        <v>23</v>
      </c>
      <c r="C23" s="517" t="s">
        <v>22</v>
      </c>
      <c r="D23" s="517" t="s">
        <v>21</v>
      </c>
      <c r="E23" s="517" t="s">
        <v>20</v>
      </c>
      <c r="F23" s="517" t="s">
        <v>19</v>
      </c>
      <c r="G23" s="517" t="s">
        <v>90</v>
      </c>
      <c r="H23" s="517" t="s">
        <v>18</v>
      </c>
      <c r="I23" s="517" t="s">
        <v>17</v>
      </c>
      <c r="J23" s="517" t="s">
        <v>16</v>
      </c>
      <c r="K23" s="517" t="s">
        <v>15</v>
      </c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</row>
    <row r="24" spans="1:134" ht="15.75" thickBot="1">
      <c r="A24" s="439"/>
      <c r="B24" s="518">
        <v>2018</v>
      </c>
      <c r="C24" s="518">
        <v>2019</v>
      </c>
      <c r="D24" s="518">
        <v>2020</v>
      </c>
      <c r="E24" s="518">
        <v>2021</v>
      </c>
      <c r="F24" s="518">
        <v>2022</v>
      </c>
      <c r="G24" s="518">
        <v>2023</v>
      </c>
      <c r="H24" s="518">
        <v>2024</v>
      </c>
      <c r="I24" s="518">
        <v>2025</v>
      </c>
      <c r="J24" s="518">
        <v>2026</v>
      </c>
      <c r="K24" s="518">
        <v>2027</v>
      </c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</row>
    <row r="25" spans="1:134">
      <c r="A25" s="444" t="s">
        <v>587</v>
      </c>
      <c r="B25" s="445">
        <f>B17-B10</f>
        <v>13934208</v>
      </c>
      <c r="C25" s="519"/>
      <c r="D25" s="519"/>
      <c r="E25" s="519"/>
      <c r="F25" s="519"/>
      <c r="G25" s="519"/>
      <c r="H25" s="519"/>
      <c r="I25" s="519"/>
      <c r="J25" s="519"/>
      <c r="K25" s="519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</row>
    <row r="26" spans="1:134" ht="15.75" thickBot="1">
      <c r="A26" s="447" t="s">
        <v>197</v>
      </c>
      <c r="B26" s="448">
        <f>B18-B11</f>
        <v>13934208</v>
      </c>
      <c r="C26" s="520"/>
      <c r="D26" s="520"/>
      <c r="E26" s="520"/>
      <c r="F26" s="520"/>
      <c r="G26" s="520"/>
      <c r="H26" s="520"/>
      <c r="I26" s="520"/>
      <c r="J26" s="520"/>
      <c r="K26" s="520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</row>
    <row r="27" spans="1:134" ht="15.75" thickBot="1">
      <c r="A27" s="529" t="s">
        <v>88</v>
      </c>
      <c r="B27" s="530">
        <f>B25-B26</f>
        <v>0</v>
      </c>
      <c r="C27" s="530"/>
      <c r="D27" s="530"/>
      <c r="E27" s="530"/>
      <c r="F27" s="530"/>
      <c r="G27" s="530"/>
      <c r="H27" s="530"/>
      <c r="I27" s="530"/>
      <c r="J27" s="530"/>
      <c r="K27" s="530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</row>
    <row r="28" spans="1:134">
      <c r="A28" s="90"/>
      <c r="B28" s="161"/>
      <c r="C28" s="90"/>
      <c r="D28" s="90"/>
      <c r="E28" s="90"/>
      <c r="F28" s="90"/>
      <c r="G28" s="90"/>
      <c r="H28" s="90"/>
      <c r="I28" s="90"/>
      <c r="J28" s="90"/>
      <c r="K28" s="90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</row>
    <row r="29" spans="1:134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</row>
    <row r="30" spans="1:134" ht="21">
      <c r="A30" s="1927" t="s">
        <v>202</v>
      </c>
      <c r="B30" s="1927"/>
      <c r="C30" s="1927"/>
      <c r="D30" s="1927"/>
      <c r="E30" s="1927"/>
      <c r="F30" s="1927"/>
      <c r="G30" s="1927"/>
      <c r="H30" s="1927"/>
      <c r="I30" s="1927"/>
      <c r="J30" s="1927"/>
      <c r="K30" s="1927"/>
    </row>
    <row r="31" spans="1:134">
      <c r="A31" s="8"/>
      <c r="B31" s="161"/>
      <c r="C31" s="161"/>
      <c r="D31" s="90"/>
      <c r="E31" s="90"/>
      <c r="F31" s="90"/>
      <c r="G31" s="90"/>
      <c r="H31" s="90"/>
      <c r="I31" s="90"/>
      <c r="J31" s="90"/>
      <c r="K31" s="90"/>
    </row>
    <row r="32" spans="1:134" ht="16.5" thickBot="1">
      <c r="A32" s="240" t="s">
        <v>124</v>
      </c>
      <c r="B32" s="239"/>
      <c r="C32" s="1578" t="s">
        <v>640</v>
      </c>
      <c r="D32" s="90"/>
      <c r="E32" s="90"/>
      <c r="F32" s="90"/>
      <c r="G32" s="90"/>
      <c r="H32" s="90"/>
      <c r="I32" s="90"/>
      <c r="J32" s="90"/>
      <c r="K32" s="90"/>
    </row>
    <row r="33" spans="1:18" ht="15.75" thickBot="1">
      <c r="A33" s="456" t="s">
        <v>87</v>
      </c>
      <c r="B33" s="438" t="s">
        <v>23</v>
      </c>
      <c r="C33" s="517" t="s">
        <v>22</v>
      </c>
      <c r="D33" s="517" t="s">
        <v>21</v>
      </c>
      <c r="E33" s="517" t="s">
        <v>20</v>
      </c>
      <c r="F33" s="517" t="s">
        <v>19</v>
      </c>
      <c r="G33" s="517" t="s">
        <v>90</v>
      </c>
      <c r="H33" s="517" t="s">
        <v>18</v>
      </c>
      <c r="I33" s="517" t="s">
        <v>17</v>
      </c>
      <c r="J33" s="517" t="s">
        <v>16</v>
      </c>
      <c r="K33" s="517" t="s">
        <v>15</v>
      </c>
      <c r="M33" s="1929" t="s">
        <v>213</v>
      </c>
      <c r="N33" s="1930"/>
      <c r="O33" s="90"/>
      <c r="P33" s="425" t="s">
        <v>84</v>
      </c>
      <c r="Q33" s="90"/>
      <c r="R33" s="90"/>
    </row>
    <row r="34" spans="1:18" s="8" customFormat="1" ht="15.75" thickBot="1">
      <c r="A34" s="439"/>
      <c r="B34" s="518">
        <v>2025</v>
      </c>
      <c r="C34" s="518">
        <v>2026</v>
      </c>
      <c r="D34" s="518">
        <v>2027</v>
      </c>
      <c r="E34" s="518">
        <v>2028</v>
      </c>
      <c r="F34" s="518">
        <v>2029</v>
      </c>
      <c r="G34" s="518">
        <v>2030</v>
      </c>
      <c r="H34" s="518">
        <v>2031</v>
      </c>
      <c r="I34" s="518">
        <v>2032</v>
      </c>
      <c r="J34" s="518">
        <v>2033</v>
      </c>
      <c r="K34" s="518">
        <v>2034</v>
      </c>
      <c r="L34"/>
      <c r="M34" s="1929" t="s">
        <v>444</v>
      </c>
      <c r="N34" s="1930"/>
      <c r="P34" s="424" t="s">
        <v>165</v>
      </c>
      <c r="Q34" s="90"/>
      <c r="R34" s="427">
        <f>'Investiční náklady_vznik'!D13</f>
        <v>0</v>
      </c>
    </row>
    <row r="35" spans="1:18" s="8" customFormat="1">
      <c r="A35" s="444" t="s">
        <v>204</v>
      </c>
      <c r="B35" s="519">
        <f>'Provozní výnosy'!D15</f>
        <v>0</v>
      </c>
      <c r="C35" s="519">
        <f>'Provozní výnosy'!E15</f>
        <v>0</v>
      </c>
      <c r="D35" s="519">
        <f>'Provozní výnosy'!F15</f>
        <v>0</v>
      </c>
      <c r="E35" s="519">
        <f>'Provozní výnosy'!G15</f>
        <v>0</v>
      </c>
      <c r="F35" s="519">
        <f>'Provozní výnosy'!H15</f>
        <v>0</v>
      </c>
      <c r="G35" s="519">
        <f>'Provozní výnosy'!I15</f>
        <v>0</v>
      </c>
      <c r="H35" s="519">
        <f>'Provozní výnosy'!J15</f>
        <v>0</v>
      </c>
      <c r="I35" s="519">
        <f>'Provozní výnosy'!K15</f>
        <v>0</v>
      </c>
      <c r="J35" s="519">
        <f>'Provozní výnosy'!L15</f>
        <v>0</v>
      </c>
      <c r="K35" s="519">
        <f>'Provozní výnosy'!M15</f>
        <v>0</v>
      </c>
      <c r="L35" s="91"/>
      <c r="M35" s="444" t="s">
        <v>214</v>
      </c>
      <c r="N35" s="471">
        <f>SUM(C35:K35)</f>
        <v>0</v>
      </c>
    </row>
    <row r="36" spans="1:18" s="8" customFormat="1" ht="15.75" thickBot="1">
      <c r="A36" s="447" t="s">
        <v>197</v>
      </c>
      <c r="B36" s="520">
        <f>'Provozní náklady'!D51</f>
        <v>0</v>
      </c>
      <c r="C36" s="520">
        <f>'Provozní náklady'!E51</f>
        <v>0</v>
      </c>
      <c r="D36" s="520">
        <f>'Provozní náklady'!F51</f>
        <v>0</v>
      </c>
      <c r="E36" s="520">
        <f>'Provozní náklady'!G51</f>
        <v>0</v>
      </c>
      <c r="F36" s="520">
        <f>'Provozní náklady'!H51</f>
        <v>0</v>
      </c>
      <c r="G36" s="520">
        <f>'Provozní náklady'!I51</f>
        <v>0</v>
      </c>
      <c r="H36" s="520">
        <f>'Provozní náklady'!J51</f>
        <v>0</v>
      </c>
      <c r="I36" s="520">
        <f>'Provozní náklady'!K51</f>
        <v>0</v>
      </c>
      <c r="J36" s="520">
        <f>'Provozní náklady'!L51</f>
        <v>0</v>
      </c>
      <c r="K36" s="520">
        <f>'Provozní náklady'!M51</f>
        <v>0</v>
      </c>
      <c r="L36" s="69"/>
      <c r="M36" s="447" t="s">
        <v>216</v>
      </c>
      <c r="N36" s="472">
        <f>SUM(C36:K36)</f>
        <v>0</v>
      </c>
    </row>
    <row r="37" spans="1:18" s="8" customFormat="1" ht="15.75" thickBot="1">
      <c r="A37" s="529" t="s">
        <v>88</v>
      </c>
      <c r="B37" s="530">
        <f>B35-B36</f>
        <v>0</v>
      </c>
      <c r="C37" s="530">
        <f t="shared" ref="C37:K37" si="0">C35-C36</f>
        <v>0</v>
      </c>
      <c r="D37" s="530">
        <f t="shared" si="0"/>
        <v>0</v>
      </c>
      <c r="E37" s="530">
        <f t="shared" si="0"/>
        <v>0</v>
      </c>
      <c r="F37" s="530">
        <f t="shared" si="0"/>
        <v>0</v>
      </c>
      <c r="G37" s="530">
        <f t="shared" si="0"/>
        <v>0</v>
      </c>
      <c r="H37" s="530">
        <f t="shared" si="0"/>
        <v>0</v>
      </c>
      <c r="I37" s="530">
        <f t="shared" si="0"/>
        <v>0</v>
      </c>
      <c r="J37" s="530">
        <f t="shared" si="0"/>
        <v>0</v>
      </c>
      <c r="K37" s="530">
        <f t="shared" si="0"/>
        <v>0</v>
      </c>
      <c r="M37" s="450" t="s">
        <v>215</v>
      </c>
      <c r="N37" s="473">
        <f>N35-N36</f>
        <v>0</v>
      </c>
      <c r="O37" s="441" t="str">
        <f>IF(N37&gt;0,"ZISK","ZTRÁTA!")</f>
        <v>ZTRÁTA!</v>
      </c>
      <c r="P37" s="441" t="str">
        <f>IF(N37&gt;0,"OK","NOT OK")</f>
        <v>NOT OK</v>
      </c>
    </row>
    <row r="38" spans="1:18" s="8" customFormat="1" ht="15.75" thickBot="1">
      <c r="A38" s="749" t="s">
        <v>292</v>
      </c>
      <c r="B38" s="754">
        <f>B37</f>
        <v>0</v>
      </c>
      <c r="C38" s="754">
        <f>B38+C37</f>
        <v>0</v>
      </c>
      <c r="D38" s="754">
        <f>C38+D37</f>
        <v>0</v>
      </c>
      <c r="E38" s="754">
        <f t="shared" ref="E38:K38" si="1">D38+E37</f>
        <v>0</v>
      </c>
      <c r="F38" s="754">
        <f t="shared" si="1"/>
        <v>0</v>
      </c>
      <c r="G38" s="754">
        <f t="shared" si="1"/>
        <v>0</v>
      </c>
      <c r="H38" s="754">
        <f t="shared" si="1"/>
        <v>0</v>
      </c>
      <c r="I38" s="754">
        <f t="shared" si="1"/>
        <v>0</v>
      </c>
      <c r="J38" s="754">
        <f t="shared" si="1"/>
        <v>0</v>
      </c>
      <c r="K38" s="754">
        <f t="shared" si="1"/>
        <v>0</v>
      </c>
      <c r="M38" s="1"/>
      <c r="N38" s="1"/>
      <c r="O38" s="441"/>
      <c r="P38" s="441"/>
    </row>
    <row r="39" spans="1:18" s="8" customFormat="1">
      <c r="A39"/>
      <c r="B39"/>
      <c r="C39"/>
      <c r="D39"/>
      <c r="E39"/>
      <c r="F39"/>
      <c r="G39"/>
      <c r="H39"/>
      <c r="I39"/>
      <c r="J39"/>
      <c r="K39"/>
      <c r="L39" s="1"/>
      <c r="M39" s="1"/>
      <c r="N39"/>
    </row>
    <row r="40" spans="1:18" s="8" customFormat="1">
      <c r="G40" s="8" t="s">
        <v>91</v>
      </c>
      <c r="H40"/>
      <c r="I40"/>
      <c r="J40" s="410">
        <f>AVERAGE(B37:K37)</f>
        <v>0</v>
      </c>
      <c r="K40" s="409"/>
      <c r="L40" s="1"/>
      <c r="M40" s="1"/>
      <c r="N40"/>
    </row>
    <row r="41" spans="1:18">
      <c r="L41" s="1"/>
      <c r="M41" s="1"/>
    </row>
    <row r="42" spans="1:18" ht="16.5" thickBot="1">
      <c r="A42" s="142" t="s">
        <v>116</v>
      </c>
      <c r="B42" s="142"/>
      <c r="C42" s="1578" t="s">
        <v>640</v>
      </c>
      <c r="L42" s="1"/>
      <c r="M42" s="1"/>
    </row>
    <row r="43" spans="1:18" ht="15.75" thickBot="1">
      <c r="A43" s="440" t="s">
        <v>87</v>
      </c>
      <c r="B43" s="438" t="s">
        <v>23</v>
      </c>
      <c r="C43" s="517" t="s">
        <v>22</v>
      </c>
      <c r="D43" s="517" t="s">
        <v>21</v>
      </c>
      <c r="E43" s="517" t="s">
        <v>20</v>
      </c>
      <c r="F43" s="517" t="s">
        <v>19</v>
      </c>
      <c r="G43" s="517" t="s">
        <v>90</v>
      </c>
      <c r="H43" s="517" t="s">
        <v>18</v>
      </c>
      <c r="I43" s="517" t="s">
        <v>17</v>
      </c>
      <c r="J43" s="517" t="s">
        <v>16</v>
      </c>
      <c r="K43" s="517" t="s">
        <v>15</v>
      </c>
      <c r="L43" s="1"/>
      <c r="M43" s="1929" t="s">
        <v>213</v>
      </c>
      <c r="N43" s="1930"/>
      <c r="P43" s="426" t="s">
        <v>84</v>
      </c>
    </row>
    <row r="44" spans="1:18" ht="15.75" thickBot="1">
      <c r="A44" s="439"/>
      <c r="B44" s="518">
        <v>2025</v>
      </c>
      <c r="C44" s="518">
        <v>2026</v>
      </c>
      <c r="D44" s="518">
        <v>2027</v>
      </c>
      <c r="E44" s="518">
        <v>2028</v>
      </c>
      <c r="F44" s="518">
        <v>2029</v>
      </c>
      <c r="G44" s="518">
        <v>2030</v>
      </c>
      <c r="H44" s="518">
        <v>2031</v>
      </c>
      <c r="I44" s="518">
        <v>2032</v>
      </c>
      <c r="J44" s="518">
        <v>2033</v>
      </c>
      <c r="K44" s="518">
        <v>2034</v>
      </c>
      <c r="L44" s="1"/>
      <c r="M44" s="1929" t="s">
        <v>444</v>
      </c>
      <c r="N44" s="1931"/>
      <c r="P44" s="424" t="s">
        <v>166</v>
      </c>
      <c r="Q44" s="90"/>
      <c r="R44" s="427">
        <f>'Investiční náklady_vznik'!D31</f>
        <v>13934208</v>
      </c>
    </row>
    <row r="45" spans="1:18" ht="16.5" thickTop="1" thickBot="1">
      <c r="A45" s="444" t="s">
        <v>204</v>
      </c>
      <c r="B45" s="519">
        <f>'Provozní výnosy'!D31</f>
        <v>1408863.2064166665</v>
      </c>
      <c r="C45" s="519">
        <f>'Provozní výnosy'!E31</f>
        <v>14849450</v>
      </c>
      <c r="D45" s="519">
        <f>'Provozní výnosy'!F31</f>
        <v>16199400</v>
      </c>
      <c r="E45" s="519">
        <f>'Provozní výnosy'!G31</f>
        <v>17549350</v>
      </c>
      <c r="F45" s="519">
        <f>'Provozní výnosy'!H31</f>
        <v>18899300</v>
      </c>
      <c r="G45" s="519">
        <f>'Provozní výnosy'!I31</f>
        <v>20249250</v>
      </c>
      <c r="H45" s="519">
        <f>'Provozní výnosy'!J31</f>
        <v>20654235</v>
      </c>
      <c r="I45" s="519">
        <f>'Provozní výnosy'!K31</f>
        <v>21067319.699999999</v>
      </c>
      <c r="J45" s="519">
        <f>'Provozní výnosy'!L31</f>
        <v>21488666.094000001</v>
      </c>
      <c r="K45" s="519">
        <f>'Provozní výnosy'!M31</f>
        <v>21918439.415880002</v>
      </c>
      <c r="L45" s="442"/>
      <c r="M45" s="1433" t="s">
        <v>214</v>
      </c>
      <c r="N45" s="1434">
        <f>SUM(B45:K45)</f>
        <v>174284273.41629666</v>
      </c>
      <c r="O45" s="91"/>
      <c r="P45" s="91"/>
      <c r="Q45" s="91"/>
      <c r="R45" s="91"/>
    </row>
    <row r="46" spans="1:18" ht="16.5" thickTop="1" thickBot="1">
      <c r="A46" s="447" t="s">
        <v>197</v>
      </c>
      <c r="B46" s="520">
        <f>'Provozní náklady'!D111</f>
        <v>1408863.2064166665</v>
      </c>
      <c r="C46" s="520">
        <f>'Provozní náklady'!E111</f>
        <v>14571455.500958333</v>
      </c>
      <c r="D46" s="520">
        <f>'Provozní náklady'!F111</f>
        <v>14907220.548617916</v>
      </c>
      <c r="E46" s="520">
        <f>'Provozní náklady'!G111</f>
        <v>15251324.401079074</v>
      </c>
      <c r="F46" s="520">
        <f>'Provozní náklady'!H111</f>
        <v>15603982.904011065</v>
      </c>
      <c r="G46" s="520">
        <f>'Provozní náklady'!I111</f>
        <v>15965423.866318533</v>
      </c>
      <c r="H46" s="520">
        <f>'Provozní náklady'!J111</f>
        <v>16336779.03791292</v>
      </c>
      <c r="I46" s="520">
        <f>'Provozní náklady'!K111</f>
        <v>16717123.763625752</v>
      </c>
      <c r="J46" s="520">
        <f>'Provozní náklady'!L111</f>
        <v>17106686.245490126</v>
      </c>
      <c r="K46" s="520">
        <f>'Provozní náklady'!M111</f>
        <v>17505700.705282621</v>
      </c>
      <c r="L46" s="443"/>
      <c r="M46" s="447" t="s">
        <v>216</v>
      </c>
      <c r="N46" s="449">
        <f>SUM(B46:K46)</f>
        <v>145374560.17971301</v>
      </c>
      <c r="O46" s="69"/>
      <c r="P46" s="69"/>
      <c r="Q46" s="69"/>
      <c r="R46" s="69"/>
    </row>
    <row r="47" spans="1:18" s="8" customFormat="1" ht="15.75" thickBot="1">
      <c r="A47" s="529" t="s">
        <v>88</v>
      </c>
      <c r="B47" s="530">
        <f>B45-B46</f>
        <v>0</v>
      </c>
      <c r="C47" s="530">
        <f>C45-C46</f>
        <v>277994.49904166721</v>
      </c>
      <c r="D47" s="1437">
        <f t="shared" ref="D47:K47" si="2">D45-D46</f>
        <v>1292179.4513820838</v>
      </c>
      <c r="E47" s="530">
        <f t="shared" si="2"/>
        <v>2298025.5989209265</v>
      </c>
      <c r="F47" s="530">
        <f t="shared" si="2"/>
        <v>3295317.0959889349</v>
      </c>
      <c r="G47" s="530">
        <f t="shared" si="2"/>
        <v>4283826.1336814668</v>
      </c>
      <c r="H47" s="530">
        <f t="shared" si="2"/>
        <v>4317455.9620870799</v>
      </c>
      <c r="I47" s="530">
        <f t="shared" si="2"/>
        <v>4350195.9363742471</v>
      </c>
      <c r="J47" s="530">
        <f t="shared" si="2"/>
        <v>4381979.8485098742</v>
      </c>
      <c r="K47" s="530">
        <f t="shared" si="2"/>
        <v>4412738.710597381</v>
      </c>
      <c r="M47" s="450" t="s">
        <v>215</v>
      </c>
      <c r="N47" s="451">
        <f>N45-N46</f>
        <v>28909713.23658365</v>
      </c>
      <c r="O47" s="441" t="str">
        <f>IF(N47&gt;0,"ZISK","ZTRÁTA!!")</f>
        <v>ZISK</v>
      </c>
      <c r="P47" s="441" t="str">
        <f>IF(N47&gt;0,"OK","NOT OK")</f>
        <v>OK</v>
      </c>
      <c r="Q47" s="75"/>
      <c r="R47" s="75"/>
    </row>
    <row r="48" spans="1:18" ht="16.5" thickTop="1" thickBot="1">
      <c r="A48" s="749" t="s">
        <v>292</v>
      </c>
      <c r="B48" s="754">
        <f>B47</f>
        <v>0</v>
      </c>
      <c r="C48" s="1435">
        <f>B48+C47</f>
        <v>277994.49904166721</v>
      </c>
      <c r="D48" s="1438">
        <f>C48+D47</f>
        <v>1570173.950423751</v>
      </c>
      <c r="E48" s="1436">
        <f t="shared" ref="E48" si="3">D48+E47</f>
        <v>3868199.5493446775</v>
      </c>
      <c r="F48" s="754">
        <f t="shared" ref="F48" si="4">E48+F47</f>
        <v>7163516.6453336123</v>
      </c>
      <c r="G48" s="754">
        <f t="shared" ref="G48" si="5">F48+G47</f>
        <v>11447342.779015079</v>
      </c>
      <c r="H48" s="754">
        <f t="shared" ref="H48" si="6">G48+H47</f>
        <v>15764798.741102159</v>
      </c>
      <c r="I48" s="754">
        <f t="shared" ref="I48" si="7">H48+I47</f>
        <v>20114994.677476406</v>
      </c>
      <c r="J48" s="754">
        <f t="shared" ref="J48" si="8">I48+J47</f>
        <v>24496974.52598628</v>
      </c>
      <c r="K48" s="754">
        <f t="shared" ref="K48" si="9">J48+K47</f>
        <v>28909713.236583661</v>
      </c>
      <c r="L48" s="1"/>
      <c r="M48" s="1"/>
    </row>
    <row r="50" spans="1:18">
      <c r="B50" s="65"/>
      <c r="G50" s="8" t="s">
        <v>91</v>
      </c>
      <c r="J50" s="410">
        <f>AVERAGE(B47:K47)</f>
        <v>2890971.3236583662</v>
      </c>
      <c r="K50" s="409" t="str">
        <f>IF(J50&gt;0,"ZISK","ZTRÁTA!!")</f>
        <v>ZISK</v>
      </c>
      <c r="L50" s="1"/>
      <c r="M50" s="1"/>
    </row>
    <row r="51" spans="1:18" ht="16.5" thickBot="1">
      <c r="A51" s="208" t="s">
        <v>25</v>
      </c>
      <c r="B51" s="208"/>
      <c r="C51" s="1578" t="s">
        <v>640</v>
      </c>
      <c r="L51" s="1"/>
      <c r="M51" s="1"/>
    </row>
    <row r="52" spans="1:18" ht="15.75" thickBot="1">
      <c r="A52" s="440" t="s">
        <v>87</v>
      </c>
      <c r="B52" s="438" t="s">
        <v>23</v>
      </c>
      <c r="C52" s="517" t="s">
        <v>22</v>
      </c>
      <c r="D52" s="517" t="s">
        <v>21</v>
      </c>
      <c r="E52" s="517" t="s">
        <v>20</v>
      </c>
      <c r="F52" s="517" t="s">
        <v>19</v>
      </c>
      <c r="G52" s="517" t="s">
        <v>90</v>
      </c>
      <c r="H52" s="517" t="s">
        <v>18</v>
      </c>
      <c r="I52" s="517" t="s">
        <v>17</v>
      </c>
      <c r="J52" s="517" t="s">
        <v>16</v>
      </c>
      <c r="K52" s="517" t="s">
        <v>15</v>
      </c>
      <c r="L52" s="1"/>
      <c r="M52" s="1929" t="s">
        <v>213</v>
      </c>
      <c r="N52" s="1930"/>
      <c r="P52" s="426" t="s">
        <v>84</v>
      </c>
    </row>
    <row r="53" spans="1:18" ht="15.75" thickBot="1">
      <c r="A53" s="439"/>
      <c r="B53" s="518">
        <v>2025</v>
      </c>
      <c r="C53" s="518">
        <v>2026</v>
      </c>
      <c r="D53" s="518">
        <v>2027</v>
      </c>
      <c r="E53" s="518">
        <v>2028</v>
      </c>
      <c r="F53" s="518">
        <v>2029</v>
      </c>
      <c r="G53" s="518">
        <v>2030</v>
      </c>
      <c r="H53" s="518">
        <v>2031</v>
      </c>
      <c r="I53" s="518">
        <v>2032</v>
      </c>
      <c r="J53" s="518">
        <v>2033</v>
      </c>
      <c r="K53" s="518">
        <v>2034</v>
      </c>
      <c r="L53" s="1"/>
      <c r="M53" s="1929" t="s">
        <v>444</v>
      </c>
      <c r="N53" s="1930"/>
      <c r="P53" s="424" t="s">
        <v>167</v>
      </c>
      <c r="Q53" s="90"/>
      <c r="R53" s="427">
        <f>'Investiční náklady_vznik'!D48</f>
        <v>13934208</v>
      </c>
    </row>
    <row r="54" spans="1:18">
      <c r="A54" s="444" t="s">
        <v>204</v>
      </c>
      <c r="B54" s="519">
        <f>B45-B35</f>
        <v>1408863.2064166665</v>
      </c>
      <c r="C54" s="519">
        <f>'Provozní výnosy'!E47</f>
        <v>14849450</v>
      </c>
      <c r="D54" s="519">
        <f>'Provozní výnosy'!F47</f>
        <v>16199400</v>
      </c>
      <c r="E54" s="519">
        <f>'Provozní výnosy'!G47</f>
        <v>17549350</v>
      </c>
      <c r="F54" s="519">
        <f>'Provozní výnosy'!H47</f>
        <v>18899300</v>
      </c>
      <c r="G54" s="519">
        <f>'Provozní výnosy'!I47</f>
        <v>20249250</v>
      </c>
      <c r="H54" s="519">
        <f>'Provozní výnosy'!J47</f>
        <v>20654235</v>
      </c>
      <c r="I54" s="519">
        <f>'Provozní výnosy'!K47</f>
        <v>21067319.699999999</v>
      </c>
      <c r="J54" s="519">
        <f>'Provozní výnosy'!L47</f>
        <v>21488666.094000001</v>
      </c>
      <c r="K54" s="519">
        <f>'Provozní výnosy'!M47</f>
        <v>21918439.415880002</v>
      </c>
      <c r="L54" s="442"/>
      <c r="M54" s="444" t="s">
        <v>214</v>
      </c>
      <c r="N54" s="446">
        <f>SUM(B54:K54)</f>
        <v>174284273.41629666</v>
      </c>
    </row>
    <row r="55" spans="1:18" ht="15.75" thickBot="1">
      <c r="A55" s="447" t="s">
        <v>197</v>
      </c>
      <c r="B55" s="520">
        <f>B46-B36</f>
        <v>1408863.2064166665</v>
      </c>
      <c r="C55" s="520">
        <f>'Provozní náklady'!E171-'Provozní náklady'!E169</f>
        <v>14571455.500958333</v>
      </c>
      <c r="D55" s="520">
        <f>'Provozní náklady'!F171-'Provozní náklady'!F169</f>
        <v>14907220.548617916</v>
      </c>
      <c r="E55" s="520">
        <f>'Provozní náklady'!G171-'Provozní náklady'!G169</f>
        <v>15251324.401079074</v>
      </c>
      <c r="F55" s="520">
        <f>'Provozní náklady'!H171-'Provozní náklady'!H169</f>
        <v>15603982.904011065</v>
      </c>
      <c r="G55" s="520">
        <f>'Provozní náklady'!I171-'Provozní náklady'!I169</f>
        <v>15965423.866318533</v>
      </c>
      <c r="H55" s="520">
        <f>'Provozní náklady'!J171-'Provozní náklady'!J169</f>
        <v>16336779.03791292</v>
      </c>
      <c r="I55" s="520">
        <f>'Provozní náklady'!K171-'Provozní náklady'!K169</f>
        <v>16717123.763625752</v>
      </c>
      <c r="J55" s="520">
        <f>'Provozní náklady'!L171-'Provozní náklady'!L169</f>
        <v>17106686.245490126</v>
      </c>
      <c r="K55" s="520">
        <f>'Provozní náklady'!M171-'Provozní náklady'!M169</f>
        <v>17505700.705282621</v>
      </c>
      <c r="L55" s="443"/>
      <c r="M55" s="447" t="s">
        <v>216</v>
      </c>
      <c r="N55" s="449">
        <f>SUM(B55:K55)</f>
        <v>145374560.17971301</v>
      </c>
    </row>
    <row r="56" spans="1:18" ht="15.75" thickBot="1">
      <c r="A56" s="1458" t="s">
        <v>88</v>
      </c>
      <c r="B56" s="1459">
        <f>B54-B55</f>
        <v>0</v>
      </c>
      <c r="C56" s="1459">
        <f t="shared" ref="C56:K56" si="10">C54-C55</f>
        <v>277994.49904166721</v>
      </c>
      <c r="D56" s="1459">
        <f t="shared" si="10"/>
        <v>1292179.4513820838</v>
      </c>
      <c r="E56" s="1459">
        <f t="shared" si="10"/>
        <v>2298025.5989209265</v>
      </c>
      <c r="F56" s="1459">
        <f t="shared" si="10"/>
        <v>3295317.0959889349</v>
      </c>
      <c r="G56" s="1459">
        <f t="shared" si="10"/>
        <v>4283826.1336814668</v>
      </c>
      <c r="H56" s="1459">
        <f t="shared" si="10"/>
        <v>4317455.9620870799</v>
      </c>
      <c r="I56" s="1459">
        <f t="shared" si="10"/>
        <v>4350195.9363742471</v>
      </c>
      <c r="J56" s="1459">
        <f t="shared" si="10"/>
        <v>4381979.8485098742</v>
      </c>
      <c r="K56" s="1460">
        <f t="shared" si="10"/>
        <v>4412738.710597381</v>
      </c>
      <c r="M56" s="450" t="s">
        <v>215</v>
      </c>
      <c r="N56" s="451">
        <f>SUM(B56:K56)</f>
        <v>28909713.236583661</v>
      </c>
      <c r="O56" s="441" t="str">
        <f>IF(N56&gt;0,"ZISK","ZTRÁTA!!")</f>
        <v>ZISK</v>
      </c>
      <c r="P56" s="441" t="str">
        <f>IF(N56&gt;0,"OK","NOT OK")</f>
        <v>OK</v>
      </c>
    </row>
    <row r="57" spans="1:18" ht="15.75" thickBot="1">
      <c r="A57" s="1461" t="s">
        <v>292</v>
      </c>
      <c r="B57" s="1462">
        <f>B56</f>
        <v>0</v>
      </c>
      <c r="C57" s="1462">
        <f>B57+C56</f>
        <v>277994.49904166721</v>
      </c>
      <c r="D57" s="1462">
        <f>C57+D56</f>
        <v>1570173.950423751</v>
      </c>
      <c r="E57" s="1462">
        <f t="shared" ref="E57" si="11">D57+E56</f>
        <v>3868199.5493446775</v>
      </c>
      <c r="F57" s="1462">
        <f t="shared" ref="F57" si="12">E57+F56</f>
        <v>7163516.6453336123</v>
      </c>
      <c r="G57" s="1462">
        <f t="shared" ref="G57" si="13">F57+G56</f>
        <v>11447342.779015079</v>
      </c>
      <c r="H57" s="1462">
        <f t="shared" ref="H57" si="14">G57+H56</f>
        <v>15764798.741102159</v>
      </c>
      <c r="I57" s="1462">
        <f t="shared" ref="I57" si="15">H57+I56</f>
        <v>20114994.677476406</v>
      </c>
      <c r="J57" s="1462">
        <f t="shared" ref="J57" si="16">I57+J56</f>
        <v>24496974.52598628</v>
      </c>
      <c r="K57" s="1463">
        <f t="shared" ref="K57" si="17">J57+K56</f>
        <v>28909713.236583661</v>
      </c>
      <c r="O57" s="441"/>
      <c r="P57" s="441"/>
    </row>
    <row r="58" spans="1:18">
      <c r="L58" s="1"/>
      <c r="M58" s="1"/>
    </row>
    <row r="59" spans="1:18">
      <c r="G59" s="8" t="s">
        <v>91</v>
      </c>
      <c r="J59" s="410">
        <f>AVERAGE(B56:K56)</f>
        <v>2890971.3236583662</v>
      </c>
      <c r="K59" s="409" t="str">
        <f>IF(J59&gt;0,"ZISK","ZTRÁTA!!")</f>
        <v>ZISK</v>
      </c>
    </row>
    <row r="60" spans="1:18">
      <c r="A60" t="s">
        <v>588</v>
      </c>
    </row>
    <row r="62" spans="1:18" ht="15.75" thickBot="1"/>
    <row r="63" spans="1:18" ht="21.75" thickBot="1">
      <c r="A63" s="1923" t="s">
        <v>300</v>
      </c>
      <c r="B63" s="1923"/>
      <c r="C63" s="1923"/>
      <c r="D63" s="1923"/>
      <c r="E63" s="1923"/>
      <c r="F63" s="1923"/>
      <c r="G63" s="1923"/>
      <c r="H63" s="1923"/>
      <c r="I63" s="1923"/>
      <c r="J63" s="1923"/>
      <c r="K63" s="1924"/>
    </row>
    <row r="65" spans="1:11">
      <c r="A65" t="s">
        <v>229</v>
      </c>
      <c r="C65" s="434">
        <f t="shared" ref="C65:K65" si="18">C35/C45</f>
        <v>0</v>
      </c>
      <c r="D65" s="434">
        <f t="shared" si="18"/>
        <v>0</v>
      </c>
      <c r="E65" s="434">
        <f t="shared" si="18"/>
        <v>0</v>
      </c>
      <c r="F65" s="434">
        <f t="shared" si="18"/>
        <v>0</v>
      </c>
      <c r="G65" s="434">
        <f t="shared" si="18"/>
        <v>0</v>
      </c>
      <c r="H65" s="434">
        <f t="shared" si="18"/>
        <v>0</v>
      </c>
      <c r="I65" s="434">
        <f t="shared" si="18"/>
        <v>0</v>
      </c>
      <c r="J65" s="434">
        <f t="shared" si="18"/>
        <v>0</v>
      </c>
      <c r="K65" s="434">
        <f t="shared" si="18"/>
        <v>0</v>
      </c>
    </row>
    <row r="66" spans="1:11">
      <c r="A66" t="s">
        <v>230</v>
      </c>
      <c r="C66" s="434">
        <f>C36/C46</f>
        <v>0</v>
      </c>
      <c r="D66" s="434">
        <f t="shared" ref="D66:K66" si="19">D36/D46</f>
        <v>0</v>
      </c>
      <c r="E66" s="434">
        <f t="shared" si="19"/>
        <v>0</v>
      </c>
      <c r="F66" s="434">
        <f t="shared" si="19"/>
        <v>0</v>
      </c>
      <c r="G66" s="434">
        <f t="shared" si="19"/>
        <v>0</v>
      </c>
      <c r="H66" s="434">
        <f t="shared" si="19"/>
        <v>0</v>
      </c>
      <c r="I66" s="434">
        <f t="shared" si="19"/>
        <v>0</v>
      </c>
      <c r="J66" s="434">
        <f t="shared" si="19"/>
        <v>0</v>
      </c>
      <c r="K66" s="434">
        <f t="shared" si="19"/>
        <v>0</v>
      </c>
    </row>
    <row r="68" spans="1:11" ht="15.75" thickBot="1"/>
    <row r="69" spans="1:11" ht="21.75" thickBot="1">
      <c r="A69" s="1925" t="s">
        <v>301</v>
      </c>
      <c r="B69" s="1925"/>
      <c r="C69" s="1925"/>
      <c r="D69" s="1925"/>
      <c r="E69" s="1925"/>
      <c r="F69" s="1925"/>
      <c r="G69" s="1925"/>
      <c r="H69" s="1925"/>
      <c r="I69" s="1925"/>
      <c r="J69" s="1925"/>
      <c r="K69" s="1926"/>
    </row>
    <row r="140" spans="1:1">
      <c r="A140" s="330" t="s">
        <v>671</v>
      </c>
    </row>
  </sheetData>
  <protectedRanges>
    <protectedRange algorithmName="SHA-512" hashValue="heH7zKW1RvCg/rnrozzhAvjveJKLz+MklJ3R2g4OVmSZqchaY0KodWVZpEW8uWT43P8yUaU5r/sanAdyma86+A==" saltValue="DdV/EoTDcuquG7iCwNlHqQ==" spinCount="100000" sqref="B35:K36 B45:K46" name="Provozní fáze projektu"/>
    <protectedRange algorithmName="SHA-512" hashValue="AUuST328lTeAKl4NwtZV3KE7mfdUrDtQB8FM0RbXTE8d83OKa52hQW9jbTTWdALxGuHArMvO92Pr8eJA4/JABg==" saltValue="0e9DkskLUuy69oCre+o8qQ==" spinCount="100000" sqref="B10:B11 B17:B18" name="Realizační fáze projektu"/>
  </protectedRanges>
  <mergeCells count="10">
    <mergeCell ref="A63:K63"/>
    <mergeCell ref="A69:K69"/>
    <mergeCell ref="A30:K30"/>
    <mergeCell ref="A5:K5"/>
    <mergeCell ref="M53:N53"/>
    <mergeCell ref="M33:N33"/>
    <mergeCell ref="M34:N34"/>
    <mergeCell ref="M43:N43"/>
    <mergeCell ref="M44:N44"/>
    <mergeCell ref="M52:N52"/>
  </mergeCells>
  <pageMargins left="0.7" right="0.7" top="0.78740157499999996" bottom="0.78740157499999996" header="0.3" footer="0.3"/>
  <pageSetup paperSize="9" scale="5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</sheetPr>
  <dimension ref="A1:AR99"/>
  <sheetViews>
    <sheetView showGridLines="0" zoomScale="90" zoomScaleNormal="90" zoomScaleSheetLayoutView="90" workbookViewId="0">
      <selection activeCell="C6" sqref="C6:M6"/>
    </sheetView>
  </sheetViews>
  <sheetFormatPr defaultColWidth="9.140625" defaultRowHeight="15"/>
  <cols>
    <col min="1" max="1" width="58.85546875" style="2" customWidth="1"/>
    <col min="2" max="2" width="16.42578125" style="2" customWidth="1"/>
    <col min="3" max="5" width="9.7109375" style="2" customWidth="1"/>
    <col min="6" max="6" width="14.140625" style="2" customWidth="1"/>
    <col min="7" max="7" width="9.7109375" style="2" customWidth="1"/>
    <col min="8" max="8" width="14" style="2" customWidth="1"/>
    <col min="9" max="13" width="9.7109375" style="2" customWidth="1"/>
    <col min="14" max="14" width="14.28515625" style="2" customWidth="1"/>
    <col min="15" max="15" width="11.85546875" style="2" customWidth="1"/>
    <col min="16" max="16" width="58.140625" style="2" customWidth="1"/>
    <col min="17" max="17" width="17" style="331" customWidth="1"/>
    <col min="18" max="18" width="37.7109375" style="2" customWidth="1"/>
    <col min="19" max="19" width="12.5703125" style="2" customWidth="1"/>
    <col min="20" max="20" width="13" style="2" customWidth="1"/>
    <col min="21" max="21" width="14.28515625" style="2" customWidth="1"/>
    <col min="22" max="22" width="22.5703125" style="2" customWidth="1"/>
    <col min="23" max="23" width="15.42578125" style="2" customWidth="1"/>
    <col min="24" max="25" width="9.140625" style="2"/>
    <col min="26" max="26" width="11" style="2" customWidth="1"/>
    <col min="27" max="30" width="9.140625" style="2"/>
    <col min="31" max="31" width="23.5703125" style="2" customWidth="1"/>
    <col min="32" max="32" width="14.7109375" style="2" customWidth="1"/>
    <col min="33" max="33" width="14" style="2" customWidth="1"/>
    <col min="34" max="34" width="14.5703125" style="2" customWidth="1"/>
    <col min="35" max="35" width="15.140625" style="2" customWidth="1"/>
    <col min="36" max="36" width="13.7109375" style="2" customWidth="1"/>
    <col min="37" max="37" width="15.5703125" style="2" customWidth="1"/>
    <col min="38" max="16384" width="9.140625" style="2"/>
  </cols>
  <sheetData>
    <row r="1" spans="1:44" ht="16.5" thickBot="1">
      <c r="A1" s="1604" t="str">
        <f>'Položkový rozpočet projektu'!A1:A1</f>
        <v>Modelový projekt: "Zvýšení technologické vybavenosti společnosti Šroub &amp; Matka, spol. s r.o. v Ostravě"</v>
      </c>
      <c r="B1" s="1608"/>
      <c r="C1" s="1608"/>
      <c r="D1" s="1609"/>
      <c r="E1" s="1609"/>
    </row>
    <row r="2" spans="1:44" ht="15.75" thickBot="1">
      <c r="A2"/>
      <c r="B2"/>
      <c r="C2"/>
      <c r="G2" s="136"/>
      <c r="I2" s="136"/>
      <c r="K2" s="136"/>
      <c r="N2" s="1090"/>
      <c r="O2" s="1932" t="s">
        <v>493</v>
      </c>
      <c r="P2" s="1933"/>
      <c r="Q2" s="1933"/>
      <c r="R2" s="1933"/>
      <c r="S2" s="1933"/>
      <c r="T2" s="1933"/>
      <c r="U2" s="1934"/>
      <c r="V2" s="1932" t="s">
        <v>134</v>
      </c>
      <c r="W2" s="1933"/>
      <c r="X2" s="1934"/>
      <c r="AE2" s="1932" t="s">
        <v>497</v>
      </c>
      <c r="AF2" s="1933"/>
      <c r="AG2" s="1933"/>
      <c r="AH2" s="1933"/>
      <c r="AI2" s="1933"/>
      <c r="AJ2" s="1933"/>
      <c r="AK2" s="1934"/>
      <c r="AL2" s="1932" t="s">
        <v>134</v>
      </c>
      <c r="AM2" s="1933"/>
      <c r="AN2" s="1934"/>
      <c r="AQ2" s="45" t="s">
        <v>471</v>
      </c>
    </row>
    <row r="3" spans="1:44" ht="21.75" thickBot="1">
      <c r="A3" s="1955" t="s">
        <v>499</v>
      </c>
      <c r="B3" s="1956"/>
      <c r="C3" s="1956"/>
      <c r="D3" s="1956"/>
      <c r="E3" s="1956"/>
      <c r="F3" s="1956"/>
      <c r="G3" s="1956"/>
      <c r="H3" s="1956"/>
      <c r="I3" s="1956"/>
      <c r="J3" s="1956"/>
      <c r="K3" s="1956"/>
      <c r="L3" s="1956"/>
      <c r="M3" s="1339"/>
      <c r="N3" s="289"/>
      <c r="O3" s="1151" t="s">
        <v>184</v>
      </c>
      <c r="P3" s="294" t="s">
        <v>676</v>
      </c>
      <c r="Q3" s="295" t="s">
        <v>677</v>
      </c>
      <c r="R3" s="296" t="s">
        <v>678</v>
      </c>
      <c r="S3" s="295" t="s">
        <v>679</v>
      </c>
      <c r="T3" s="296" t="s">
        <v>680</v>
      </c>
      <c r="U3" s="295" t="s">
        <v>681</v>
      </c>
      <c r="V3" s="1978" t="s">
        <v>682</v>
      </c>
      <c r="W3" s="1978"/>
      <c r="X3" s="1979"/>
      <c r="AE3" s="1151" t="s">
        <v>184</v>
      </c>
      <c r="AF3" s="294" t="s">
        <v>453</v>
      </c>
      <c r="AG3" s="295" t="s">
        <v>454</v>
      </c>
      <c r="AH3" s="296" t="s">
        <v>455</v>
      </c>
      <c r="AI3" s="295" t="s">
        <v>456</v>
      </c>
      <c r="AJ3" s="296" t="s">
        <v>457</v>
      </c>
      <c r="AK3" s="295" t="s">
        <v>458</v>
      </c>
      <c r="AL3" s="1984" t="s">
        <v>459</v>
      </c>
      <c r="AM3" s="1978"/>
      <c r="AN3" s="1979"/>
    </row>
    <row r="4" spans="1:44" ht="26.25" customHeight="1" thickBot="1">
      <c r="A4" s="1965" t="s">
        <v>394</v>
      </c>
      <c r="B4" s="1966"/>
      <c r="O4" s="1153" t="s">
        <v>344</v>
      </c>
      <c r="P4" s="301" t="s">
        <v>135</v>
      </c>
      <c r="Q4" s="302" t="s">
        <v>177</v>
      </c>
      <c r="R4" s="303" t="s">
        <v>178</v>
      </c>
      <c r="S4" s="303" t="s">
        <v>179</v>
      </c>
      <c r="T4" s="303" t="s">
        <v>180</v>
      </c>
      <c r="U4" s="302" t="s">
        <v>181</v>
      </c>
      <c r="V4" s="1980"/>
      <c r="W4" s="1980"/>
      <c r="X4" s="1981"/>
      <c r="AE4" s="1153" t="s">
        <v>405</v>
      </c>
      <c r="AF4" s="301" t="s">
        <v>135</v>
      </c>
      <c r="AG4" s="302" t="s">
        <v>177</v>
      </c>
      <c r="AH4" s="303" t="s">
        <v>178</v>
      </c>
      <c r="AI4" s="303" t="s">
        <v>179</v>
      </c>
      <c r="AJ4" s="303" t="s">
        <v>180</v>
      </c>
      <c r="AK4" s="302" t="s">
        <v>181</v>
      </c>
      <c r="AL4" s="1985"/>
      <c r="AM4" s="1980"/>
      <c r="AN4" s="1981"/>
      <c r="AR4" s="1155">
        <f>M11/F11</f>
        <v>2.3033649746004672</v>
      </c>
    </row>
    <row r="5" spans="1:44" ht="23.25" customHeight="1" thickTop="1" thickBot="1">
      <c r="A5" s="1232" t="s">
        <v>492</v>
      </c>
      <c r="B5" s="1233"/>
      <c r="F5" s="1337" t="s">
        <v>391</v>
      </c>
      <c r="H5" s="1336" t="s">
        <v>403</v>
      </c>
      <c r="O5" s="1154" t="s">
        <v>45</v>
      </c>
      <c r="P5" s="1142">
        <f>H9-G9</f>
        <v>22006.729166666657</v>
      </c>
      <c r="Q5" s="1143">
        <f t="shared" ref="Q5:U5" si="0">I9-H9</f>
        <v>35731.220833333355</v>
      </c>
      <c r="R5" s="1143">
        <f t="shared" si="0"/>
        <v>22794.199999999983</v>
      </c>
      <c r="S5" s="1143">
        <f t="shared" si="0"/>
        <v>22794.199999999983</v>
      </c>
      <c r="T5" s="1143">
        <f t="shared" si="0"/>
        <v>22794.200000000012</v>
      </c>
      <c r="U5" s="1144">
        <f t="shared" si="0"/>
        <v>22794.200000000012</v>
      </c>
      <c r="V5" s="1982">
        <f>AVERAGE(Q5:U5)</f>
        <v>25381.604166666668</v>
      </c>
      <c r="W5" s="1982"/>
      <c r="X5" s="1983"/>
      <c r="Y5" s="45" t="s">
        <v>460</v>
      </c>
      <c r="AE5" s="1154" t="s">
        <v>45</v>
      </c>
      <c r="AF5" s="1142">
        <f t="shared" ref="AF5:AK5" si="1">H11-G11</f>
        <v>21934.479166666657</v>
      </c>
      <c r="AG5" s="1143">
        <f t="shared" si="1"/>
        <v>35658.970833333355</v>
      </c>
      <c r="AH5" s="1143">
        <f t="shared" si="1"/>
        <v>22721.949999999983</v>
      </c>
      <c r="AI5" s="1143">
        <f t="shared" si="1"/>
        <v>22721.949999999983</v>
      </c>
      <c r="AJ5" s="1143">
        <f t="shared" si="1"/>
        <v>22721.950000000012</v>
      </c>
      <c r="AK5" s="1144">
        <f t="shared" si="1"/>
        <v>22721.950000000012</v>
      </c>
      <c r="AL5" s="1986">
        <f>AVERAGE(AG5:AK5)</f>
        <v>25309.354166666668</v>
      </c>
      <c r="AM5" s="1987"/>
      <c r="AN5" s="1988"/>
    </row>
    <row r="6" spans="1:44" ht="16.5" thickBot="1">
      <c r="A6" s="1942" t="s">
        <v>137</v>
      </c>
      <c r="B6" s="1942" t="s">
        <v>14</v>
      </c>
      <c r="C6" s="340">
        <v>2020</v>
      </c>
      <c r="D6" s="340">
        <v>2021</v>
      </c>
      <c r="E6" s="340">
        <v>2022</v>
      </c>
      <c r="F6" s="333">
        <v>2023</v>
      </c>
      <c r="G6" s="931" t="s">
        <v>672</v>
      </c>
      <c r="H6" s="294">
        <v>2025</v>
      </c>
      <c r="I6" s="295">
        <v>2026</v>
      </c>
      <c r="J6" s="296">
        <v>2027</v>
      </c>
      <c r="K6" s="296">
        <v>2028</v>
      </c>
      <c r="L6" s="295">
        <v>2029</v>
      </c>
      <c r="M6" s="295">
        <v>2030</v>
      </c>
      <c r="O6" s="1153" t="s">
        <v>46</v>
      </c>
      <c r="P6" s="1148">
        <f>P5/H9</f>
        <v>0.11940339166975159</v>
      </c>
      <c r="Q6" s="1148">
        <f t="shared" ref="Q6:U6" si="2">Q5/I9</f>
        <v>0.16238736645519469</v>
      </c>
      <c r="R6" s="1148">
        <f t="shared" si="2"/>
        <v>9.3868517280422975E-2</v>
      </c>
      <c r="S6" s="1148">
        <f t="shared" si="2"/>
        <v>8.5813345751826711E-2</v>
      </c>
      <c r="T6" s="1148">
        <f t="shared" si="2"/>
        <v>7.9031397143501589E-2</v>
      </c>
      <c r="U6" s="1156">
        <f t="shared" si="2"/>
        <v>7.3242907808539981E-2</v>
      </c>
      <c r="V6" s="1973">
        <f>AVERAGE(Q6:U6)</f>
        <v>9.8868706887897201E-2</v>
      </c>
      <c r="W6" s="1973"/>
      <c r="X6" s="1974"/>
      <c r="AE6" s="1152" t="s">
        <v>46</v>
      </c>
      <c r="AF6" s="1145">
        <f t="shared" ref="AF6:AK6" si="3">AF5/G11</f>
        <v>0.13530113725151532</v>
      </c>
      <c r="AG6" s="1146">
        <f t="shared" si="3"/>
        <v>0.19374560172181038</v>
      </c>
      <c r="AH6" s="1146">
        <f t="shared" si="3"/>
        <v>0.10341817341038349</v>
      </c>
      <c r="AI6" s="1146">
        <f t="shared" si="3"/>
        <v>9.3725276511210931E-2</v>
      </c>
      <c r="AJ6" s="1146">
        <f t="shared" si="3"/>
        <v>8.5693618428731952E-2</v>
      </c>
      <c r="AK6" s="1147">
        <f t="shared" si="3"/>
        <v>7.8929835244635482E-2</v>
      </c>
      <c r="AL6" s="1989">
        <f>AVERAGE(AG6:AK6)</f>
        <v>0.11110250106335444</v>
      </c>
      <c r="AM6" s="1990"/>
      <c r="AN6" s="1991"/>
      <c r="AP6" s="331"/>
    </row>
    <row r="7" spans="1:44" ht="16.5" thickBot="1">
      <c r="A7" s="1943"/>
      <c r="B7" s="1943"/>
      <c r="C7" s="341" t="s">
        <v>326</v>
      </c>
      <c r="D7" s="341" t="s">
        <v>325</v>
      </c>
      <c r="E7" s="341" t="s">
        <v>324</v>
      </c>
      <c r="F7" s="883" t="s">
        <v>323</v>
      </c>
      <c r="G7" s="1014" t="s">
        <v>327</v>
      </c>
      <c r="H7" s="301" t="s">
        <v>135</v>
      </c>
      <c r="I7" s="302" t="s">
        <v>177</v>
      </c>
      <c r="J7" s="303" t="s">
        <v>178</v>
      </c>
      <c r="K7" s="303" t="s">
        <v>179</v>
      </c>
      <c r="L7" s="392" t="s">
        <v>180</v>
      </c>
      <c r="M7" s="303" t="s">
        <v>181</v>
      </c>
      <c r="O7" s="1932" t="s">
        <v>494</v>
      </c>
      <c r="P7" s="1933"/>
      <c r="Q7" s="1933"/>
      <c r="R7" s="1933"/>
      <c r="S7" s="1933"/>
      <c r="T7" s="1933"/>
      <c r="U7" s="1934"/>
      <c r="V7" s="1975" t="s">
        <v>134</v>
      </c>
      <c r="W7" s="1976"/>
      <c r="X7" s="1977"/>
      <c r="Z7" s="1155">
        <f>M9/F9</f>
        <v>2.3053724212007851</v>
      </c>
      <c r="AE7" s="1153" t="s">
        <v>463</v>
      </c>
      <c r="AF7" s="1148">
        <f t="shared" ref="AF7:AK7" si="4">H11/$F$11-100%</f>
        <v>0.36490399470997548</v>
      </c>
      <c r="AG7" s="1149">
        <f t="shared" si="4"/>
        <v>0.62934814045756249</v>
      </c>
      <c r="AH7" s="1149">
        <f t="shared" si="4"/>
        <v>0.7978523489932885</v>
      </c>
      <c r="AI7" s="1149">
        <f t="shared" si="4"/>
        <v>0.96635655752901473</v>
      </c>
      <c r="AJ7" s="1149">
        <f t="shared" si="4"/>
        <v>1.1348607660647407</v>
      </c>
      <c r="AK7" s="1150">
        <f t="shared" si="4"/>
        <v>1.3033649746004672</v>
      </c>
      <c r="AL7" s="1973">
        <f>AVERAGE(AG7:AK7)</f>
        <v>0.96635655752901461</v>
      </c>
      <c r="AM7" s="1973"/>
      <c r="AN7" s="1974"/>
    </row>
    <row r="8" spans="1:44" ht="16.5" thickBot="1">
      <c r="A8" s="304"/>
      <c r="B8" s="305"/>
      <c r="C8" s="393"/>
      <c r="D8" s="394"/>
      <c r="E8" s="394"/>
      <c r="F8" s="335"/>
      <c r="G8" s="932"/>
      <c r="H8" s="334"/>
      <c r="I8" s="396"/>
      <c r="J8" s="394"/>
      <c r="K8" s="394"/>
      <c r="L8" s="395"/>
      <c r="M8" s="395"/>
      <c r="O8" s="1151" t="s">
        <v>184</v>
      </c>
      <c r="P8" s="294" t="s">
        <v>676</v>
      </c>
      <c r="Q8" s="295" t="s">
        <v>677</v>
      </c>
      <c r="R8" s="296" t="s">
        <v>678</v>
      </c>
      <c r="S8" s="295" t="s">
        <v>679</v>
      </c>
      <c r="T8" s="296" t="s">
        <v>680</v>
      </c>
      <c r="U8" s="295" t="s">
        <v>681</v>
      </c>
      <c r="V8" s="1978" t="s">
        <v>682</v>
      </c>
      <c r="W8" s="1978"/>
      <c r="X8" s="1979"/>
      <c r="AE8" s="331"/>
    </row>
    <row r="9" spans="1:44" ht="16.5" customHeight="1" thickBot="1">
      <c r="A9" s="336" t="s">
        <v>96</v>
      </c>
      <c r="B9" s="337" t="s">
        <v>45</v>
      </c>
      <c r="C9" s="884">
        <f t="shared" ref="C9:G17" si="5">C25</f>
        <v>76522</v>
      </c>
      <c r="D9" s="884">
        <f t="shared" si="5"/>
        <v>108355</v>
      </c>
      <c r="E9" s="884">
        <f t="shared" si="5"/>
        <v>137500</v>
      </c>
      <c r="F9" s="338">
        <f t="shared" si="5"/>
        <v>134995</v>
      </c>
      <c r="G9" s="933">
        <f t="shared" si="5"/>
        <v>162299</v>
      </c>
      <c r="H9" s="939">
        <f t="shared" ref="H9:M12" si="6">H25+H60</f>
        <v>184305.72916666666</v>
      </c>
      <c r="I9" s="935">
        <f t="shared" si="6"/>
        <v>220036.95</v>
      </c>
      <c r="J9" s="344">
        <f t="shared" si="6"/>
        <v>242831.15</v>
      </c>
      <c r="K9" s="344">
        <f t="shared" si="6"/>
        <v>265625.34999999998</v>
      </c>
      <c r="L9" s="344">
        <f t="shared" si="6"/>
        <v>288419.55</v>
      </c>
      <c r="M9" s="927">
        <f t="shared" si="6"/>
        <v>311213.75</v>
      </c>
      <c r="O9" s="1153" t="s">
        <v>344</v>
      </c>
      <c r="P9" s="301" t="s">
        <v>135</v>
      </c>
      <c r="Q9" s="302" t="s">
        <v>177</v>
      </c>
      <c r="R9" s="303" t="s">
        <v>178</v>
      </c>
      <c r="S9" s="303" t="s">
        <v>179</v>
      </c>
      <c r="T9" s="303" t="s">
        <v>180</v>
      </c>
      <c r="U9" s="302" t="s">
        <v>181</v>
      </c>
      <c r="V9" s="1980"/>
      <c r="W9" s="1980"/>
      <c r="X9" s="1981"/>
      <c r="AE9" s="1932" t="s">
        <v>498</v>
      </c>
      <c r="AF9" s="1933"/>
      <c r="AG9" s="1933"/>
      <c r="AH9" s="1933"/>
      <c r="AI9" s="1933"/>
      <c r="AJ9" s="1933"/>
      <c r="AK9" s="1934"/>
      <c r="AL9" s="1932" t="s">
        <v>134</v>
      </c>
      <c r="AM9" s="1933"/>
      <c r="AN9" s="1934"/>
      <c r="AQ9" s="45" t="s">
        <v>472</v>
      </c>
    </row>
    <row r="10" spans="1:44" ht="16.5" customHeight="1" thickBot="1">
      <c r="A10" s="345" t="s">
        <v>97</v>
      </c>
      <c r="B10" s="346" t="s">
        <v>45</v>
      </c>
      <c r="C10" s="884">
        <f t="shared" si="5"/>
        <v>403</v>
      </c>
      <c r="D10" s="884">
        <f t="shared" si="5"/>
        <v>227</v>
      </c>
      <c r="E10" s="884">
        <f t="shared" si="5"/>
        <v>440</v>
      </c>
      <c r="F10" s="349">
        <f t="shared" si="5"/>
        <v>268</v>
      </c>
      <c r="G10" s="934">
        <f t="shared" si="5"/>
        <v>437</v>
      </c>
      <c r="H10" s="940">
        <f t="shared" si="6"/>
        <v>445.5</v>
      </c>
      <c r="I10" s="936">
        <f t="shared" si="6"/>
        <v>454</v>
      </c>
      <c r="J10" s="350">
        <f t="shared" si="6"/>
        <v>462.5</v>
      </c>
      <c r="K10" s="350">
        <f t="shared" si="6"/>
        <v>471</v>
      </c>
      <c r="L10" s="350">
        <f t="shared" si="6"/>
        <v>479.5</v>
      </c>
      <c r="M10" s="928">
        <f t="shared" si="6"/>
        <v>488</v>
      </c>
      <c r="O10" s="1154" t="s">
        <v>45</v>
      </c>
      <c r="P10" s="1142">
        <f t="shared" ref="P10:U10" si="7">H9-$F$9</f>
        <v>49310.729166666657</v>
      </c>
      <c r="Q10" s="1143">
        <f t="shared" si="7"/>
        <v>85041.950000000012</v>
      </c>
      <c r="R10" s="1143">
        <f t="shared" si="7"/>
        <v>107836.15</v>
      </c>
      <c r="S10" s="1143">
        <f t="shared" si="7"/>
        <v>130630.34999999998</v>
      </c>
      <c r="T10" s="1143">
        <f t="shared" si="7"/>
        <v>153424.54999999999</v>
      </c>
      <c r="U10" s="1144">
        <f t="shared" si="7"/>
        <v>176218.75</v>
      </c>
      <c r="V10" s="1982">
        <f>AVERAGE(Q10:U10)</f>
        <v>130630.35</v>
      </c>
      <c r="W10" s="1982"/>
      <c r="X10" s="1983"/>
      <c r="AE10" s="1151" t="s">
        <v>184</v>
      </c>
      <c r="AF10" s="294" t="s">
        <v>453</v>
      </c>
      <c r="AG10" s="295" t="s">
        <v>454</v>
      </c>
      <c r="AH10" s="296" t="s">
        <v>455</v>
      </c>
      <c r="AI10" s="295" t="s">
        <v>456</v>
      </c>
      <c r="AJ10" s="296" t="s">
        <v>457</v>
      </c>
      <c r="AK10" s="295" t="s">
        <v>458</v>
      </c>
      <c r="AL10" s="1984" t="s">
        <v>459</v>
      </c>
      <c r="AM10" s="1978"/>
      <c r="AN10" s="1979"/>
    </row>
    <row r="11" spans="1:44" ht="16.5" customHeight="1" thickBot="1">
      <c r="A11" s="345" t="s">
        <v>140</v>
      </c>
      <c r="B11" s="346" t="s">
        <v>45</v>
      </c>
      <c r="C11" s="884">
        <f t="shared" si="5"/>
        <v>76628</v>
      </c>
      <c r="D11" s="884">
        <f t="shared" si="5"/>
        <v>108271</v>
      </c>
      <c r="E11" s="884">
        <f t="shared" si="5"/>
        <v>137383</v>
      </c>
      <c r="F11" s="349">
        <f t="shared" si="5"/>
        <v>134845</v>
      </c>
      <c r="G11" s="934">
        <f t="shared" si="5"/>
        <v>162116</v>
      </c>
      <c r="H11" s="940">
        <f t="shared" si="6"/>
        <v>184050.47916666666</v>
      </c>
      <c r="I11" s="936">
        <f t="shared" si="6"/>
        <v>219709.45</v>
      </c>
      <c r="J11" s="350">
        <f t="shared" si="6"/>
        <v>242431.4</v>
      </c>
      <c r="K11" s="350">
        <f t="shared" si="6"/>
        <v>265153.34999999998</v>
      </c>
      <c r="L11" s="350">
        <f t="shared" si="6"/>
        <v>287875.3</v>
      </c>
      <c r="M11" s="928">
        <f t="shared" si="6"/>
        <v>310597.25</v>
      </c>
      <c r="N11" s="289"/>
      <c r="O11" s="1153" t="s">
        <v>46</v>
      </c>
      <c r="P11" s="1148">
        <f>P10/$F$9</f>
        <v>0.36527818931565359</v>
      </c>
      <c r="Q11" s="1149">
        <f t="shared" ref="Q11:U11" si="8">Q10/$F$9</f>
        <v>0.62996370235934673</v>
      </c>
      <c r="R11" s="1149">
        <f t="shared" si="8"/>
        <v>0.79881588206970622</v>
      </c>
      <c r="S11" s="1149">
        <f t="shared" si="8"/>
        <v>0.9676680617800657</v>
      </c>
      <c r="T11" s="1149">
        <f t="shared" si="8"/>
        <v>1.1365202414904254</v>
      </c>
      <c r="U11" s="1150">
        <f t="shared" si="8"/>
        <v>1.3053724212007851</v>
      </c>
      <c r="V11" s="1973">
        <f>AVERAGE(Q11:U11)</f>
        <v>0.96766806178006581</v>
      </c>
      <c r="W11" s="1973"/>
      <c r="X11" s="1974"/>
      <c r="Z11" s="45" t="s">
        <v>461</v>
      </c>
      <c r="AE11" s="1153" t="s">
        <v>405</v>
      </c>
      <c r="AF11" s="301" t="s">
        <v>135</v>
      </c>
      <c r="AG11" s="302" t="s">
        <v>177</v>
      </c>
      <c r="AH11" s="303" t="s">
        <v>178</v>
      </c>
      <c r="AI11" s="303" t="s">
        <v>179</v>
      </c>
      <c r="AJ11" s="303" t="s">
        <v>180</v>
      </c>
      <c r="AK11" s="302" t="s">
        <v>181</v>
      </c>
      <c r="AL11" s="1985"/>
      <c r="AM11" s="1980"/>
      <c r="AN11" s="1981"/>
      <c r="AR11" s="1155">
        <f>M17/F17</f>
        <v>3.1331761666128952</v>
      </c>
    </row>
    <row r="12" spans="1:44" ht="16.5" customHeight="1" thickBot="1">
      <c r="A12" s="345" t="s">
        <v>368</v>
      </c>
      <c r="B12" s="346" t="s">
        <v>45</v>
      </c>
      <c r="C12" s="884">
        <f t="shared" si="5"/>
        <v>51235</v>
      </c>
      <c r="D12" s="884">
        <f t="shared" si="5"/>
        <v>56355</v>
      </c>
      <c r="E12" s="884">
        <f t="shared" si="5"/>
        <v>110015</v>
      </c>
      <c r="F12" s="349">
        <f t="shared" si="5"/>
        <v>121643.97100000001</v>
      </c>
      <c r="G12" s="934">
        <f t="shared" si="5"/>
        <v>152014.35399999999</v>
      </c>
      <c r="H12" s="940">
        <f t="shared" si="6"/>
        <v>177638.48050481445</v>
      </c>
      <c r="I12" s="937">
        <f t="shared" si="6"/>
        <v>213737.23432710103</v>
      </c>
      <c r="J12" s="351">
        <f t="shared" si="6"/>
        <v>239962.36403865568</v>
      </c>
      <c r="K12" s="351">
        <f t="shared" si="6"/>
        <v>266187.49375021033</v>
      </c>
      <c r="L12" s="351">
        <f t="shared" si="6"/>
        <v>292412.623461765</v>
      </c>
      <c r="M12" s="929">
        <f t="shared" si="6"/>
        <v>318637.75317331962</v>
      </c>
      <c r="O12" s="1932" t="s">
        <v>495</v>
      </c>
      <c r="P12" s="1933"/>
      <c r="Q12" s="1933"/>
      <c r="R12" s="1933"/>
      <c r="S12" s="1933"/>
      <c r="T12" s="1933"/>
      <c r="U12" s="1934"/>
      <c r="V12" s="1975" t="s">
        <v>134</v>
      </c>
      <c r="W12" s="1976"/>
      <c r="X12" s="1977"/>
      <c r="AE12" s="1154" t="s">
        <v>45</v>
      </c>
      <c r="AF12" s="1158">
        <f t="shared" ref="AF12:AK12" si="9">H17-G17</f>
        <v>202.90669307652365</v>
      </c>
      <c r="AG12" s="1158">
        <f t="shared" si="9"/>
        <v>1390.3192205347871</v>
      </c>
      <c r="AH12" s="1158">
        <f t="shared" si="9"/>
        <v>312.23415109034249</v>
      </c>
      <c r="AI12" s="1158">
        <f t="shared" si="9"/>
        <v>312.23415109034295</v>
      </c>
      <c r="AJ12" s="1158">
        <f t="shared" si="9"/>
        <v>312.23415109034249</v>
      </c>
      <c r="AK12" s="1158">
        <f t="shared" si="9"/>
        <v>312.23415109034295</v>
      </c>
      <c r="AL12" s="1986">
        <f>AVERAGE(AG12:AK12)</f>
        <v>527.85116497923161</v>
      </c>
      <c r="AM12" s="1987"/>
      <c r="AN12" s="1988"/>
    </row>
    <row r="13" spans="1:44" ht="16.5" customHeight="1" thickBot="1">
      <c r="A13" s="352" t="s">
        <v>408</v>
      </c>
      <c r="B13" s="353" t="s">
        <v>142</v>
      </c>
      <c r="C13" s="884">
        <f t="shared" si="5"/>
        <v>49</v>
      </c>
      <c r="D13" s="884">
        <f t="shared" si="5"/>
        <v>68</v>
      </c>
      <c r="E13" s="884">
        <f t="shared" si="5"/>
        <v>85</v>
      </c>
      <c r="F13" s="349">
        <f t="shared" si="5"/>
        <v>96</v>
      </c>
      <c r="G13" s="934">
        <f t="shared" si="5"/>
        <v>104</v>
      </c>
      <c r="H13" s="1020">
        <f>H29</f>
        <v>107</v>
      </c>
      <c r="I13" s="937">
        <f>I29</f>
        <v>107</v>
      </c>
      <c r="J13" s="937">
        <f t="shared" ref="J13:M13" si="10">J29</f>
        <v>107</v>
      </c>
      <c r="K13" s="937">
        <f t="shared" si="10"/>
        <v>107</v>
      </c>
      <c r="L13" s="937">
        <f t="shared" si="10"/>
        <v>107</v>
      </c>
      <c r="M13" s="929">
        <f t="shared" si="10"/>
        <v>107</v>
      </c>
      <c r="O13" s="1151" t="s">
        <v>184</v>
      </c>
      <c r="P13" s="294" t="s">
        <v>676</v>
      </c>
      <c r="Q13" s="295" t="s">
        <v>677</v>
      </c>
      <c r="R13" s="296" t="s">
        <v>678</v>
      </c>
      <c r="S13" s="295" t="s">
        <v>679</v>
      </c>
      <c r="T13" s="296" t="s">
        <v>680</v>
      </c>
      <c r="U13" s="295" t="s">
        <v>681</v>
      </c>
      <c r="V13" s="1978" t="s">
        <v>682</v>
      </c>
      <c r="W13" s="1978"/>
      <c r="X13" s="1979"/>
      <c r="Z13" s="1155">
        <f>M15/F15</f>
        <v>2.4394097349144985</v>
      </c>
      <c r="AE13" s="1152" t="s">
        <v>46</v>
      </c>
      <c r="AF13" s="1145">
        <f t="shared" ref="AF13:AK13" si="11">AF12/G17</f>
        <v>0.13016788028299772</v>
      </c>
      <c r="AG13" s="1145">
        <f t="shared" si="11"/>
        <v>0.78918537083499452</v>
      </c>
      <c r="AH13" s="1145">
        <f t="shared" si="11"/>
        <v>9.9058001952776739E-2</v>
      </c>
      <c r="AI13" s="1145">
        <f t="shared" si="11"/>
        <v>9.0129912867904408E-2</v>
      </c>
      <c r="AJ13" s="1145">
        <f t="shared" si="11"/>
        <v>8.2678139370372175E-2</v>
      </c>
      <c r="AK13" s="1157">
        <f t="shared" si="11"/>
        <v>7.6364467299998767E-2</v>
      </c>
      <c r="AL13" s="1998">
        <f>AVERAGE(AG13:AK13)</f>
        <v>0.22748317846520932</v>
      </c>
      <c r="AM13" s="1999"/>
      <c r="AN13" s="2000"/>
    </row>
    <row r="14" spans="1:44" ht="16.5" customHeight="1" thickBot="1">
      <c r="A14" s="345" t="s">
        <v>143</v>
      </c>
      <c r="B14" s="346" t="s">
        <v>45</v>
      </c>
      <c r="C14" s="884">
        <f t="shared" si="5"/>
        <v>6031</v>
      </c>
      <c r="D14" s="884">
        <f t="shared" si="5"/>
        <v>11431</v>
      </c>
      <c r="E14" s="884">
        <f t="shared" si="5"/>
        <v>21636</v>
      </c>
      <c r="F14" s="349">
        <f t="shared" si="5"/>
        <v>32425</v>
      </c>
      <c r="G14" s="934">
        <f t="shared" si="5"/>
        <v>52945</v>
      </c>
      <c r="H14" s="940">
        <f>H30+H65</f>
        <v>64871.480042180687</v>
      </c>
      <c r="I14" s="936">
        <f t="shared" ref="I14:M17" si="12">I30+I65</f>
        <v>81931.224143283587</v>
      </c>
      <c r="J14" s="350">
        <f t="shared" si="12"/>
        <v>94429.975787042189</v>
      </c>
      <c r="K14" s="350">
        <f t="shared" si="12"/>
        <v>106923.20831378287</v>
      </c>
      <c r="L14" s="350">
        <f t="shared" si="12"/>
        <v>119412.23910123637</v>
      </c>
      <c r="M14" s="928">
        <f t="shared" si="12"/>
        <v>131897.99716116569</v>
      </c>
      <c r="O14" s="1153" t="s">
        <v>344</v>
      </c>
      <c r="P14" s="301" t="s">
        <v>135</v>
      </c>
      <c r="Q14" s="302" t="s">
        <v>177</v>
      </c>
      <c r="R14" s="303" t="s">
        <v>178</v>
      </c>
      <c r="S14" s="303" t="s">
        <v>179</v>
      </c>
      <c r="T14" s="303" t="s">
        <v>180</v>
      </c>
      <c r="U14" s="302" t="s">
        <v>181</v>
      </c>
      <c r="V14" s="1980"/>
      <c r="W14" s="1980"/>
      <c r="X14" s="1981"/>
      <c r="AE14" s="1153" t="s">
        <v>463</v>
      </c>
      <c r="AF14" s="1148">
        <f>H17/$F$17-100%</f>
        <v>0.25421469833427057</v>
      </c>
      <c r="AG14" s="1148">
        <f t="shared" ref="AG14:AK14" si="13">I17/$F$17-100%</f>
        <v>1.244022590145903</v>
      </c>
      <c r="AH14" s="1148">
        <f t="shared" si="13"/>
        <v>1.4663109842626509</v>
      </c>
      <c r="AI14" s="1148">
        <f t="shared" si="13"/>
        <v>1.6885993783793993</v>
      </c>
      <c r="AJ14" s="1148">
        <f t="shared" si="13"/>
        <v>1.9108877724961473</v>
      </c>
      <c r="AK14" s="1156">
        <f t="shared" si="13"/>
        <v>2.1331761666128952</v>
      </c>
      <c r="AL14" s="1996">
        <f>AVERAGE(AG14:AK14)</f>
        <v>1.6885993783793993</v>
      </c>
      <c r="AM14" s="1996"/>
      <c r="AN14" s="1997"/>
    </row>
    <row r="15" spans="1:44" ht="16.5" customHeight="1" thickBot="1">
      <c r="A15" s="354" t="s">
        <v>144</v>
      </c>
      <c r="B15" s="355" t="s">
        <v>45</v>
      </c>
      <c r="C15" s="884">
        <f t="shared" si="5"/>
        <v>25748</v>
      </c>
      <c r="D15" s="884">
        <f t="shared" si="5"/>
        <v>35425</v>
      </c>
      <c r="E15" s="884">
        <f t="shared" si="5"/>
        <v>56939</v>
      </c>
      <c r="F15" s="349">
        <f t="shared" si="5"/>
        <v>69970</v>
      </c>
      <c r="G15" s="934">
        <f t="shared" si="5"/>
        <v>80336</v>
      </c>
      <c r="H15" s="940">
        <f>H31+H66</f>
        <v>94218.208309776877</v>
      </c>
      <c r="I15" s="936">
        <f t="shared" si="12"/>
        <v>113839.49937810947</v>
      </c>
      <c r="J15" s="350">
        <f t="shared" si="12"/>
        <v>128050.99932157397</v>
      </c>
      <c r="K15" s="350">
        <f t="shared" si="12"/>
        <v>142262.49926503847</v>
      </c>
      <c r="L15" s="350">
        <f t="shared" si="12"/>
        <v>156473.99920850297</v>
      </c>
      <c r="M15" s="928">
        <f t="shared" si="12"/>
        <v>170685.49915196747</v>
      </c>
      <c r="O15" s="1154" t="s">
        <v>45</v>
      </c>
      <c r="P15" s="1142">
        <f t="shared" ref="P15:U15" si="14">H15-G15</f>
        <v>13882.208309776877</v>
      </c>
      <c r="Q15" s="1143">
        <f t="shared" si="14"/>
        <v>19621.29106833259</v>
      </c>
      <c r="R15" s="1143">
        <f t="shared" si="14"/>
        <v>14211.4999434645</v>
      </c>
      <c r="S15" s="1143">
        <f t="shared" si="14"/>
        <v>14211.4999434645</v>
      </c>
      <c r="T15" s="1143">
        <f t="shared" si="14"/>
        <v>14211.4999434645</v>
      </c>
      <c r="U15" s="1144">
        <f t="shared" si="14"/>
        <v>14211.4999434645</v>
      </c>
      <c r="V15" s="1982">
        <f>AVERAGE(Q15:U15)</f>
        <v>15293.458168438117</v>
      </c>
      <c r="W15" s="1982"/>
      <c r="X15" s="1983"/>
    </row>
    <row r="16" spans="1:44" ht="16.5" customHeight="1" thickBot="1">
      <c r="A16" s="356" t="s">
        <v>145</v>
      </c>
      <c r="B16" s="346" t="s">
        <v>45</v>
      </c>
      <c r="C16" s="884">
        <f t="shared" si="5"/>
        <v>51016</v>
      </c>
      <c r="D16" s="884">
        <f t="shared" si="5"/>
        <v>72877</v>
      </c>
      <c r="E16" s="884">
        <f t="shared" si="5"/>
        <v>80883</v>
      </c>
      <c r="F16" s="349">
        <f t="shared" si="5"/>
        <v>65378</v>
      </c>
      <c r="G16" s="934">
        <f t="shared" si="5"/>
        <v>82400</v>
      </c>
      <c r="H16" s="940">
        <f>H32+H67</f>
        <v>91051.347217916671</v>
      </c>
      <c r="I16" s="936">
        <f t="shared" si="12"/>
        <v>107776.26363895833</v>
      </c>
      <c r="J16" s="350">
        <f t="shared" si="12"/>
        <v>115817.35556799792</v>
      </c>
      <c r="K16" s="350">
        <f t="shared" si="12"/>
        <v>123862.59853465288</v>
      </c>
      <c r="L16" s="350">
        <f t="shared" si="12"/>
        <v>131912.08307584061</v>
      </c>
      <c r="M16" s="928">
        <f t="shared" si="12"/>
        <v>139965.90793569398</v>
      </c>
      <c r="O16" s="1153" t="s">
        <v>46</v>
      </c>
      <c r="P16" s="1148">
        <f>P15/H15</f>
        <v>0.14734103480437699</v>
      </c>
      <c r="Q16" s="1148">
        <f t="shared" ref="Q16:U16" si="15">Q15/I15</f>
        <v>0.17235925294402363</v>
      </c>
      <c r="R16" s="1148">
        <f t="shared" si="15"/>
        <v>0.11098312405805764</v>
      </c>
      <c r="S16" s="1148">
        <f t="shared" si="15"/>
        <v>9.9896318544131099E-2</v>
      </c>
      <c r="T16" s="1148">
        <f t="shared" si="15"/>
        <v>9.0823395678201801E-2</v>
      </c>
      <c r="U16" s="1156">
        <f t="shared" si="15"/>
        <v>8.3261319878213488E-2</v>
      </c>
      <c r="V16" s="1973">
        <f>AVERAGE(Q16:U16)</f>
        <v>0.11146468222052552</v>
      </c>
      <c r="W16" s="1973"/>
      <c r="X16" s="1974"/>
    </row>
    <row r="17" spans="1:26" ht="16.5" customHeight="1" thickBot="1">
      <c r="A17" s="357" t="s">
        <v>146</v>
      </c>
      <c r="B17" s="358" t="s">
        <v>147</v>
      </c>
      <c r="C17" s="887">
        <f t="shared" si="5"/>
        <v>1563.8367346938776</v>
      </c>
      <c r="D17" s="887">
        <f t="shared" si="5"/>
        <v>1592.2205882352941</v>
      </c>
      <c r="E17" s="887">
        <f t="shared" si="5"/>
        <v>1616.2705882352941</v>
      </c>
      <c r="F17" s="359">
        <f t="shared" si="5"/>
        <v>1404.6354166666667</v>
      </c>
      <c r="G17" s="952">
        <f t="shared" si="5"/>
        <v>1558.8076923076924</v>
      </c>
      <c r="H17" s="941">
        <f>H33+H68</f>
        <v>1761.714385384216</v>
      </c>
      <c r="I17" s="938">
        <f t="shared" si="12"/>
        <v>3152.0336059190031</v>
      </c>
      <c r="J17" s="360">
        <f t="shared" si="12"/>
        <v>3464.2677570093456</v>
      </c>
      <c r="K17" s="360">
        <f t="shared" si="12"/>
        <v>3776.5019080996885</v>
      </c>
      <c r="L17" s="360">
        <f t="shared" si="12"/>
        <v>4088.736059190031</v>
      </c>
      <c r="M17" s="930">
        <f t="shared" si="12"/>
        <v>4400.970210280374</v>
      </c>
      <c r="O17" s="1932" t="s">
        <v>496</v>
      </c>
      <c r="P17" s="1933"/>
      <c r="Q17" s="1933"/>
      <c r="R17" s="1933"/>
      <c r="S17" s="1933"/>
      <c r="T17" s="1933"/>
      <c r="U17" s="1934"/>
      <c r="V17" s="1975" t="s">
        <v>134</v>
      </c>
      <c r="W17" s="1976"/>
      <c r="X17" s="1977"/>
      <c r="Z17" s="45" t="s">
        <v>462</v>
      </c>
    </row>
    <row r="18" spans="1:26" ht="16.5" customHeight="1" thickBot="1">
      <c r="A18" s="2" t="s">
        <v>328</v>
      </c>
      <c r="O18" s="1151" t="s">
        <v>184</v>
      </c>
      <c r="P18" s="294" t="s">
        <v>676</v>
      </c>
      <c r="Q18" s="295" t="s">
        <v>677</v>
      </c>
      <c r="R18" s="296" t="s">
        <v>678</v>
      </c>
      <c r="S18" s="295" t="s">
        <v>679</v>
      </c>
      <c r="T18" s="296" t="s">
        <v>680</v>
      </c>
      <c r="U18" s="295" t="s">
        <v>681</v>
      </c>
      <c r="V18" s="1978" t="s">
        <v>682</v>
      </c>
      <c r="W18" s="1978"/>
      <c r="X18" s="1979"/>
    </row>
    <row r="19" spans="1:26" ht="16.5" customHeight="1" thickBot="1">
      <c r="A19" s="2" t="s">
        <v>481</v>
      </c>
      <c r="I19" s="289"/>
      <c r="O19" s="1153" t="s">
        <v>344</v>
      </c>
      <c r="P19" s="301" t="s">
        <v>135</v>
      </c>
      <c r="Q19" s="302" t="s">
        <v>177</v>
      </c>
      <c r="R19" s="303" t="s">
        <v>178</v>
      </c>
      <c r="S19" s="303" t="s">
        <v>179</v>
      </c>
      <c r="T19" s="303" t="s">
        <v>180</v>
      </c>
      <c r="U19" s="302" t="s">
        <v>181</v>
      </c>
      <c r="V19" s="1980"/>
      <c r="W19" s="1980"/>
      <c r="X19" s="1981"/>
      <c r="Z19" s="1155">
        <f>M16/F16</f>
        <v>2.1408716683852975</v>
      </c>
    </row>
    <row r="20" spans="1:26" ht="26.25" customHeight="1" thickTop="1" thickBot="1">
      <c r="A20" s="1935" t="s">
        <v>392</v>
      </c>
      <c r="B20" s="1936"/>
      <c r="C20" s="943"/>
      <c r="D20" s="943"/>
      <c r="E20" s="943"/>
      <c r="F20" s="943"/>
      <c r="G20" s="943"/>
      <c r="H20" s="943"/>
      <c r="I20" s="943"/>
      <c r="J20" s="943"/>
      <c r="K20" s="943"/>
      <c r="L20" s="943"/>
      <c r="M20" s="944"/>
      <c r="O20" s="1154" t="s">
        <v>45</v>
      </c>
      <c r="P20" s="1142">
        <f t="shared" ref="P20:U20" si="16">H16-G16</f>
        <v>8651.3472179166711</v>
      </c>
      <c r="Q20" s="1143">
        <f t="shared" si="16"/>
        <v>16724.916421041664</v>
      </c>
      <c r="R20" s="1143">
        <f t="shared" si="16"/>
        <v>8041.0919290395832</v>
      </c>
      <c r="S20" s="1143">
        <f t="shared" si="16"/>
        <v>8045.2429666549579</v>
      </c>
      <c r="T20" s="1143">
        <f t="shared" si="16"/>
        <v>8049.4845411877322</v>
      </c>
      <c r="U20" s="1144">
        <f t="shared" si="16"/>
        <v>8053.8248598533683</v>
      </c>
      <c r="V20" s="1982">
        <f>AVERAGE(Q20:U20)</f>
        <v>9782.9121435554607</v>
      </c>
      <c r="W20" s="1982"/>
      <c r="X20" s="1983"/>
    </row>
    <row r="21" spans="1:26" ht="24.75" customHeight="1" thickTop="1" thickBot="1">
      <c r="A21" s="945" t="s">
        <v>488</v>
      </c>
      <c r="B21" s="405"/>
      <c r="C21" s="405"/>
      <c r="D21" s="405"/>
      <c r="E21" s="405"/>
      <c r="F21" s="1337" t="s">
        <v>391</v>
      </c>
      <c r="G21" s="405"/>
      <c r="H21" s="1336" t="s">
        <v>403</v>
      </c>
      <c r="I21" s="405"/>
      <c r="J21" s="405"/>
      <c r="K21" s="405"/>
      <c r="L21" s="405"/>
      <c r="M21" s="946"/>
      <c r="O21" s="1153" t="s">
        <v>46</v>
      </c>
      <c r="P21" s="1192">
        <f>P20/H16</f>
        <v>9.5016136303959026E-2</v>
      </c>
      <c r="Q21" s="1192">
        <f t="shared" ref="Q21:U21" si="17">Q20/I16</f>
        <v>0.15518181700071515</v>
      </c>
      <c r="R21" s="1192">
        <f t="shared" si="17"/>
        <v>6.9429075544023722E-2</v>
      </c>
      <c r="S21" s="1192">
        <f t="shared" si="17"/>
        <v>6.4952964509332092E-2</v>
      </c>
      <c r="T21" s="1192">
        <f t="shared" si="17"/>
        <v>6.1021586146583845E-2</v>
      </c>
      <c r="U21" s="1156">
        <f t="shared" si="17"/>
        <v>5.7541332590459258E-2</v>
      </c>
      <c r="V21" s="1973">
        <f>AVERAGE(Q21:U21)</f>
        <v>8.1625355158222807E-2</v>
      </c>
      <c r="W21" s="1973"/>
      <c r="X21" s="1974"/>
    </row>
    <row r="22" spans="1:26" ht="16.5" thickBot="1">
      <c r="A22" s="1962" t="s">
        <v>137</v>
      </c>
      <c r="B22" s="1942" t="s">
        <v>14</v>
      </c>
      <c r="C22" s="340">
        <v>2020</v>
      </c>
      <c r="D22" s="340">
        <v>2021</v>
      </c>
      <c r="E22" s="340">
        <v>2022</v>
      </c>
      <c r="F22" s="333">
        <v>2023</v>
      </c>
      <c r="G22" s="931" t="s">
        <v>672</v>
      </c>
      <c r="H22" s="294">
        <v>2025</v>
      </c>
      <c r="I22" s="295">
        <v>2026</v>
      </c>
      <c r="J22" s="296">
        <v>2027</v>
      </c>
      <c r="K22" s="296">
        <v>2028</v>
      </c>
      <c r="L22" s="295">
        <v>2029</v>
      </c>
      <c r="M22" s="295">
        <v>2030</v>
      </c>
    </row>
    <row r="23" spans="1:26" ht="20.25" thickTop="1" thickBot="1">
      <c r="A23" s="1963"/>
      <c r="B23" s="1943"/>
      <c r="C23" s="341" t="s">
        <v>326</v>
      </c>
      <c r="D23" s="341" t="s">
        <v>325</v>
      </c>
      <c r="E23" s="341" t="s">
        <v>324</v>
      </c>
      <c r="F23" s="883" t="s">
        <v>323</v>
      </c>
      <c r="G23" s="1014" t="s">
        <v>327</v>
      </c>
      <c r="H23" s="301" t="s">
        <v>135</v>
      </c>
      <c r="I23" s="302" t="s">
        <v>177</v>
      </c>
      <c r="J23" s="303" t="s">
        <v>178</v>
      </c>
      <c r="K23" s="303" t="s">
        <v>179</v>
      </c>
      <c r="L23" s="303" t="s">
        <v>180</v>
      </c>
      <c r="M23" s="1581" t="s">
        <v>181</v>
      </c>
      <c r="P23" s="1198" t="s">
        <v>399</v>
      </c>
    </row>
    <row r="24" spans="1:26" ht="16.5" thickBot="1">
      <c r="A24" s="1582"/>
      <c r="B24" s="305"/>
      <c r="C24" s="334"/>
      <c r="D24" s="334"/>
      <c r="E24" s="334"/>
      <c r="F24" s="335"/>
      <c r="G24" s="932"/>
      <c r="H24" s="334"/>
      <c r="I24" s="335"/>
      <c r="J24" s="334"/>
      <c r="K24" s="334"/>
      <c r="L24" s="334"/>
      <c r="M24" s="1583"/>
      <c r="P24" s="1969" t="s">
        <v>683</v>
      </c>
      <c r="Q24" s="1970"/>
      <c r="R24" s="1970"/>
      <c r="S24" s="1970"/>
      <c r="T24" s="1970"/>
      <c r="U24" s="1971"/>
      <c r="V24" s="14"/>
      <c r="W24" s="14"/>
      <c r="X24" s="14"/>
      <c r="Y24" s="14"/>
      <c r="Z24" s="14"/>
    </row>
    <row r="25" spans="1:26" ht="16.5" thickBot="1">
      <c r="A25" s="1584" t="s">
        <v>96</v>
      </c>
      <c r="B25" s="337" t="s">
        <v>45</v>
      </c>
      <c r="C25" s="342">
        <v>76522</v>
      </c>
      <c r="D25" s="343">
        <v>108355</v>
      </c>
      <c r="E25" s="885">
        <v>137500</v>
      </c>
      <c r="F25" s="338">
        <v>134995</v>
      </c>
      <c r="G25" s="1009">
        <v>162299</v>
      </c>
      <c r="H25" s="939">
        <f t="shared" ref="H25:M25" si="18">G25+$R$42</f>
        <v>183743.25</v>
      </c>
      <c r="I25" s="935">
        <f t="shared" si="18"/>
        <v>205187.5</v>
      </c>
      <c r="J25" s="344">
        <f t="shared" si="18"/>
        <v>226631.75</v>
      </c>
      <c r="K25" s="344">
        <f t="shared" si="18"/>
        <v>248076</v>
      </c>
      <c r="L25" s="344">
        <f t="shared" si="18"/>
        <v>269520.25</v>
      </c>
      <c r="M25" s="1585">
        <f t="shared" si="18"/>
        <v>290964.5</v>
      </c>
      <c r="P25" s="1085" t="s">
        <v>396</v>
      </c>
      <c r="Q25" s="1085" t="s">
        <v>14</v>
      </c>
      <c r="R25" s="648" t="s">
        <v>329</v>
      </c>
      <c r="S25" s="648" t="s">
        <v>330</v>
      </c>
      <c r="T25" s="648" t="s">
        <v>466</v>
      </c>
      <c r="U25" s="648" t="s">
        <v>685</v>
      </c>
      <c r="V25" s="291"/>
      <c r="W25" s="291"/>
      <c r="X25" s="291"/>
      <c r="Y25" s="291"/>
      <c r="Z25" s="291"/>
    </row>
    <row r="26" spans="1:26" ht="16.5" thickBot="1">
      <c r="A26" s="1586" t="s">
        <v>97</v>
      </c>
      <c r="B26" s="346" t="s">
        <v>45</v>
      </c>
      <c r="C26" s="347">
        <v>403</v>
      </c>
      <c r="D26" s="348">
        <v>227</v>
      </c>
      <c r="E26" s="886">
        <v>440</v>
      </c>
      <c r="F26" s="349">
        <v>268</v>
      </c>
      <c r="G26" s="1010">
        <v>437</v>
      </c>
      <c r="H26" s="940">
        <f t="shared" ref="H26:M26" si="19">G26+$R$43</f>
        <v>445.5</v>
      </c>
      <c r="I26" s="936">
        <f t="shared" si="19"/>
        <v>454</v>
      </c>
      <c r="J26" s="350">
        <f t="shared" si="19"/>
        <v>462.5</v>
      </c>
      <c r="K26" s="350">
        <f t="shared" si="19"/>
        <v>471</v>
      </c>
      <c r="L26" s="350">
        <f t="shared" si="19"/>
        <v>479.5</v>
      </c>
      <c r="M26" s="1587">
        <f t="shared" si="19"/>
        <v>488</v>
      </c>
      <c r="P26" s="1392"/>
      <c r="Q26" s="1392"/>
      <c r="R26" s="1424" t="s">
        <v>326</v>
      </c>
      <c r="S26" s="1425" t="s">
        <v>325</v>
      </c>
      <c r="T26" s="1425" t="s">
        <v>324</v>
      </c>
      <c r="U26" s="1425" t="s">
        <v>323</v>
      </c>
    </row>
    <row r="27" spans="1:26" ht="17.25" thickTop="1" thickBot="1">
      <c r="A27" s="1586" t="s">
        <v>140</v>
      </c>
      <c r="B27" s="346" t="s">
        <v>45</v>
      </c>
      <c r="C27" s="347">
        <v>76628</v>
      </c>
      <c r="D27" s="348">
        <v>108271</v>
      </c>
      <c r="E27" s="886">
        <v>137383</v>
      </c>
      <c r="F27" s="349">
        <v>134845</v>
      </c>
      <c r="G27" s="1010">
        <v>162116</v>
      </c>
      <c r="H27" s="940">
        <f t="shared" ref="H27:M27" si="20">G27+$R$44</f>
        <v>183488</v>
      </c>
      <c r="I27" s="936">
        <f t="shared" si="20"/>
        <v>204860</v>
      </c>
      <c r="J27" s="350">
        <f t="shared" si="20"/>
        <v>226232</v>
      </c>
      <c r="K27" s="350">
        <f t="shared" si="20"/>
        <v>247604</v>
      </c>
      <c r="L27" s="350">
        <f t="shared" si="20"/>
        <v>268976</v>
      </c>
      <c r="M27" s="1587">
        <f t="shared" si="20"/>
        <v>290348</v>
      </c>
      <c r="P27" s="1428" t="s">
        <v>96</v>
      </c>
      <c r="Q27" s="1429" t="s">
        <v>45</v>
      </c>
      <c r="R27" s="1430">
        <f t="shared" ref="R27:R35" si="21">D25-C25</f>
        <v>31833</v>
      </c>
      <c r="S27" s="1430">
        <f t="shared" ref="S27:S35" si="22">E25-D25</f>
        <v>29145</v>
      </c>
      <c r="T27" s="1431">
        <f t="shared" ref="T27:T35" si="23">F25-E25</f>
        <v>-2505</v>
      </c>
      <c r="U27" s="1432">
        <f t="shared" ref="U27:U35" si="24">G25-F25</f>
        <v>27304</v>
      </c>
      <c r="V27" s="46"/>
      <c r="W27" s="3"/>
      <c r="X27" s="3"/>
      <c r="Y27" s="136"/>
      <c r="Z27" s="3"/>
    </row>
    <row r="28" spans="1:26" ht="16.5" thickTop="1">
      <c r="A28" s="1586" t="s">
        <v>368</v>
      </c>
      <c r="B28" s="346" t="s">
        <v>45</v>
      </c>
      <c r="C28" s="347">
        <v>51235</v>
      </c>
      <c r="D28" s="348">
        <v>56355</v>
      </c>
      <c r="E28" s="886">
        <v>110015</v>
      </c>
      <c r="F28" s="349">
        <v>121643.97100000001</v>
      </c>
      <c r="G28" s="1010">
        <v>152014.35399999999</v>
      </c>
      <c r="H28" s="940">
        <f t="shared" ref="H28:M28" si="25">G28+$R$45</f>
        <v>177209.1925</v>
      </c>
      <c r="I28" s="936">
        <f t="shared" si="25"/>
        <v>202404.03100000002</v>
      </c>
      <c r="J28" s="350">
        <f t="shared" si="25"/>
        <v>227598.86950000003</v>
      </c>
      <c r="K28" s="350">
        <f t="shared" si="25"/>
        <v>252793.70800000004</v>
      </c>
      <c r="L28" s="350">
        <f t="shared" si="25"/>
        <v>277988.54650000005</v>
      </c>
      <c r="M28" s="1588">
        <f t="shared" si="25"/>
        <v>303183.38500000007</v>
      </c>
      <c r="P28" s="386" t="s">
        <v>97</v>
      </c>
      <c r="Q28" s="383" t="s">
        <v>45</v>
      </c>
      <c r="R28" s="1426">
        <f t="shared" si="21"/>
        <v>-176</v>
      </c>
      <c r="S28" s="1426">
        <f t="shared" si="22"/>
        <v>213</v>
      </c>
      <c r="T28" s="1427">
        <f t="shared" si="23"/>
        <v>-172</v>
      </c>
      <c r="U28" s="1427">
        <f t="shared" si="24"/>
        <v>169</v>
      </c>
      <c r="V28" s="3"/>
      <c r="W28" s="3"/>
      <c r="X28" s="3"/>
      <c r="Y28" s="3"/>
      <c r="Z28" s="3"/>
    </row>
    <row r="29" spans="1:26" ht="15.75">
      <c r="A29" s="1589" t="s">
        <v>408</v>
      </c>
      <c r="B29" s="353" t="s">
        <v>142</v>
      </c>
      <c r="C29" s="347">
        <v>49</v>
      </c>
      <c r="D29" s="348">
        <v>68</v>
      </c>
      <c r="E29" s="1010">
        <v>85</v>
      </c>
      <c r="F29" s="349">
        <v>96</v>
      </c>
      <c r="G29" s="1010">
        <v>104</v>
      </c>
      <c r="H29" s="1179">
        <f>G29+3</f>
        <v>107</v>
      </c>
      <c r="I29" s="1180">
        <f>H29</f>
        <v>107</v>
      </c>
      <c r="J29" s="1181">
        <f t="shared" ref="J29:M29" si="26">I29</f>
        <v>107</v>
      </c>
      <c r="K29" s="1181">
        <f t="shared" si="26"/>
        <v>107</v>
      </c>
      <c r="L29" s="1181">
        <f t="shared" si="26"/>
        <v>107</v>
      </c>
      <c r="M29" s="1590">
        <f t="shared" si="26"/>
        <v>107</v>
      </c>
      <c r="P29" s="387" t="s">
        <v>140</v>
      </c>
      <c r="Q29" s="384" t="s">
        <v>45</v>
      </c>
      <c r="R29" s="379">
        <f t="shared" si="21"/>
        <v>31643</v>
      </c>
      <c r="S29" s="379">
        <f t="shared" si="22"/>
        <v>29112</v>
      </c>
      <c r="T29" s="380">
        <f t="shared" si="23"/>
        <v>-2538</v>
      </c>
      <c r="U29" s="380">
        <f t="shared" si="24"/>
        <v>27271</v>
      </c>
      <c r="V29" s="3"/>
      <c r="W29" s="46"/>
      <c r="X29" s="3"/>
      <c r="Y29" s="3"/>
      <c r="Z29" s="3"/>
    </row>
    <row r="30" spans="1:26" ht="15.75">
      <c r="A30" s="1586" t="s">
        <v>143</v>
      </c>
      <c r="B30" s="346" t="s">
        <v>45</v>
      </c>
      <c r="C30" s="347">
        <v>6031</v>
      </c>
      <c r="D30" s="348">
        <v>11431</v>
      </c>
      <c r="E30" s="886">
        <v>21636</v>
      </c>
      <c r="F30" s="349">
        <v>32425</v>
      </c>
      <c r="G30" s="1010">
        <v>52945</v>
      </c>
      <c r="H30" s="940">
        <f t="shared" ref="H30:M30" si="27">G30+$R$47</f>
        <v>64673.5</v>
      </c>
      <c r="I30" s="936">
        <f t="shared" si="27"/>
        <v>76402</v>
      </c>
      <c r="J30" s="350">
        <f t="shared" si="27"/>
        <v>88130.5</v>
      </c>
      <c r="K30" s="350">
        <f t="shared" si="27"/>
        <v>99859</v>
      </c>
      <c r="L30" s="350">
        <f t="shared" si="27"/>
        <v>111587.5</v>
      </c>
      <c r="M30" s="1587">
        <f t="shared" si="27"/>
        <v>123316</v>
      </c>
      <c r="P30" s="387" t="s">
        <v>141</v>
      </c>
      <c r="Q30" s="384" t="s">
        <v>45</v>
      </c>
      <c r="R30" s="379">
        <f t="shared" si="21"/>
        <v>5120</v>
      </c>
      <c r="S30" s="379">
        <f t="shared" si="22"/>
        <v>53660</v>
      </c>
      <c r="T30" s="380">
        <f t="shared" si="23"/>
        <v>11628.971000000005</v>
      </c>
      <c r="U30" s="380">
        <f t="shared" si="24"/>
        <v>30370.382999999987</v>
      </c>
      <c r="V30" s="3"/>
      <c r="W30" s="3"/>
      <c r="X30" s="3"/>
      <c r="Y30" s="3"/>
      <c r="Z30" s="3"/>
    </row>
    <row r="31" spans="1:26" ht="15.75">
      <c r="A31" s="1591" t="s">
        <v>144</v>
      </c>
      <c r="B31" s="355" t="s">
        <v>45</v>
      </c>
      <c r="C31" s="347">
        <v>25748</v>
      </c>
      <c r="D31" s="348">
        <v>35425</v>
      </c>
      <c r="E31" s="886">
        <v>56939</v>
      </c>
      <c r="F31" s="349">
        <f>(134995+268)-(65378)-(-85)</f>
        <v>69970</v>
      </c>
      <c r="G31" s="1010">
        <f>(G25+G26)-(G32)-(0)</f>
        <v>80336</v>
      </c>
      <c r="H31" s="940">
        <f t="shared" ref="H31:M31" si="28">G31+$R$48</f>
        <v>93983</v>
      </c>
      <c r="I31" s="936">
        <f t="shared" si="28"/>
        <v>107630</v>
      </c>
      <c r="J31" s="350">
        <f t="shared" si="28"/>
        <v>121277</v>
      </c>
      <c r="K31" s="350">
        <f t="shared" si="28"/>
        <v>134924</v>
      </c>
      <c r="L31" s="350">
        <f t="shared" si="28"/>
        <v>148571</v>
      </c>
      <c r="M31" s="1587">
        <f t="shared" si="28"/>
        <v>162218</v>
      </c>
      <c r="P31" s="387" t="s">
        <v>408</v>
      </c>
      <c r="Q31" s="384" t="s">
        <v>142</v>
      </c>
      <c r="R31" s="379">
        <f t="shared" si="21"/>
        <v>19</v>
      </c>
      <c r="S31" s="379">
        <f t="shared" si="22"/>
        <v>17</v>
      </c>
      <c r="T31" s="380">
        <f t="shared" si="23"/>
        <v>11</v>
      </c>
      <c r="U31" s="380">
        <f t="shared" si="24"/>
        <v>8</v>
      </c>
      <c r="V31" s="46"/>
      <c r="W31" s="46"/>
      <c r="X31" s="46"/>
      <c r="Y31" s="46"/>
      <c r="Z31" s="46"/>
    </row>
    <row r="32" spans="1:26" ht="15.75">
      <c r="A32" s="1592" t="s">
        <v>145</v>
      </c>
      <c r="B32" s="346" t="s">
        <v>45</v>
      </c>
      <c r="C32" s="347">
        <v>51016</v>
      </c>
      <c r="D32" s="348">
        <v>72877</v>
      </c>
      <c r="E32" s="886">
        <v>80883</v>
      </c>
      <c r="F32" s="349">
        <v>65378</v>
      </c>
      <c r="G32" s="1010">
        <v>82400</v>
      </c>
      <c r="H32" s="940">
        <f t="shared" ref="H32:M32" si="29">G32+$R$49</f>
        <v>90246</v>
      </c>
      <c r="I32" s="936">
        <f t="shared" si="29"/>
        <v>98092</v>
      </c>
      <c r="J32" s="350">
        <f t="shared" si="29"/>
        <v>105938</v>
      </c>
      <c r="K32" s="350">
        <f t="shared" si="29"/>
        <v>113784</v>
      </c>
      <c r="L32" s="350">
        <f t="shared" si="29"/>
        <v>121630</v>
      </c>
      <c r="M32" s="1587">
        <f t="shared" si="29"/>
        <v>129476</v>
      </c>
      <c r="P32" s="387" t="s">
        <v>143</v>
      </c>
      <c r="Q32" s="384" t="s">
        <v>45</v>
      </c>
      <c r="R32" s="379">
        <f t="shared" si="21"/>
        <v>5400</v>
      </c>
      <c r="S32" s="379">
        <f t="shared" si="22"/>
        <v>10205</v>
      </c>
      <c r="T32" s="380">
        <f t="shared" si="23"/>
        <v>10789</v>
      </c>
      <c r="U32" s="380">
        <f t="shared" si="24"/>
        <v>20520</v>
      </c>
      <c r="V32" s="3"/>
      <c r="W32" s="3"/>
      <c r="X32" s="3"/>
      <c r="Y32" s="3"/>
      <c r="Z32" s="3"/>
    </row>
    <row r="33" spans="1:22" ht="16.5" thickBot="1">
      <c r="A33" s="1593" t="s">
        <v>146</v>
      </c>
      <c r="B33" s="358" t="s">
        <v>147</v>
      </c>
      <c r="C33" s="888">
        <f>C27/C29</f>
        <v>1563.8367346938776</v>
      </c>
      <c r="D33" s="362">
        <f t="shared" ref="D33:F33" si="30">D27/D29</f>
        <v>1592.2205882352941</v>
      </c>
      <c r="E33" s="889">
        <f t="shared" si="30"/>
        <v>1616.2705882352941</v>
      </c>
      <c r="F33" s="359">
        <f t="shared" si="30"/>
        <v>1404.6354166666667</v>
      </c>
      <c r="G33" s="942">
        <f>G27/G29</f>
        <v>1558.8076923076924</v>
      </c>
      <c r="H33" s="941">
        <f>H27/H29</f>
        <v>1714.8411214953271</v>
      </c>
      <c r="I33" s="938">
        <f t="shared" ref="I33:L33" si="31">I27/I29</f>
        <v>1914.5794392523364</v>
      </c>
      <c r="J33" s="360">
        <f t="shared" si="31"/>
        <v>2114.3177570093458</v>
      </c>
      <c r="K33" s="360">
        <f t="shared" si="31"/>
        <v>2314.0560747663553</v>
      </c>
      <c r="L33" s="360">
        <f t="shared" si="31"/>
        <v>2513.7943925233644</v>
      </c>
      <c r="M33" s="1594">
        <f t="shared" ref="M33" si="32">M27/M29</f>
        <v>2713.532710280374</v>
      </c>
      <c r="P33" s="387" t="s">
        <v>144</v>
      </c>
      <c r="Q33" s="384" t="s">
        <v>45</v>
      </c>
      <c r="R33" s="379">
        <f t="shared" si="21"/>
        <v>9677</v>
      </c>
      <c r="S33" s="379">
        <f t="shared" si="22"/>
        <v>21514</v>
      </c>
      <c r="T33" s="380">
        <f t="shared" si="23"/>
        <v>13031</v>
      </c>
      <c r="U33" s="380">
        <f t="shared" si="24"/>
        <v>10366</v>
      </c>
      <c r="V33" s="3"/>
    </row>
    <row r="34" spans="1:22">
      <c r="A34" s="1040" t="s">
        <v>374</v>
      </c>
      <c r="B34" s="1041"/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1042"/>
      <c r="P34" s="388" t="s">
        <v>145</v>
      </c>
      <c r="Q34" s="384" t="s">
        <v>45</v>
      </c>
      <c r="R34" s="379">
        <f t="shared" si="21"/>
        <v>21861</v>
      </c>
      <c r="S34" s="379">
        <f t="shared" si="22"/>
        <v>8006</v>
      </c>
      <c r="T34" s="380">
        <f t="shared" si="23"/>
        <v>-15505</v>
      </c>
      <c r="U34" s="380">
        <f t="shared" si="24"/>
        <v>17022</v>
      </c>
      <c r="V34" s="3"/>
    </row>
    <row r="35" spans="1:22" ht="15.75" thickBot="1">
      <c r="A35" s="1043" t="s">
        <v>373</v>
      </c>
      <c r="M35" s="1044"/>
      <c r="P35" s="357" t="s">
        <v>146</v>
      </c>
      <c r="Q35" s="385" t="s">
        <v>149</v>
      </c>
      <c r="R35" s="381">
        <f t="shared" si="21"/>
        <v>28.383853541416556</v>
      </c>
      <c r="S35" s="381">
        <f t="shared" si="22"/>
        <v>24.049999999999955</v>
      </c>
      <c r="T35" s="382">
        <f t="shared" si="23"/>
        <v>-211.63517156862736</v>
      </c>
      <c r="U35" s="382">
        <f t="shared" si="24"/>
        <v>154.17227564102564</v>
      </c>
      <c r="V35" s="3"/>
    </row>
    <row r="36" spans="1:22">
      <c r="A36" s="1043" t="s">
        <v>673</v>
      </c>
      <c r="B36" s="331"/>
      <c r="M36" s="1044"/>
      <c r="R36" s="436"/>
      <c r="S36" s="436"/>
      <c r="T36" s="436"/>
      <c r="U36" s="436"/>
      <c r="V36" s="3"/>
    </row>
    <row r="37" spans="1:22" ht="15.75" thickBot="1">
      <c r="A37" s="947"/>
      <c r="B37" s="1045"/>
      <c r="C37" s="948"/>
      <c r="D37" s="948"/>
      <c r="E37" s="948"/>
      <c r="F37" s="948"/>
      <c r="G37" s="948"/>
      <c r="H37" s="948"/>
      <c r="I37" s="948"/>
      <c r="J37" s="948"/>
      <c r="K37" s="948"/>
      <c r="L37" s="948"/>
      <c r="M37" s="997"/>
      <c r="R37" s="436"/>
      <c r="S37" s="436"/>
      <c r="T37" s="436"/>
      <c r="U37" s="436"/>
      <c r="V37" s="3"/>
    </row>
    <row r="38" spans="1:22" ht="16.5" thickTop="1" thickBot="1">
      <c r="B38" s="331"/>
      <c r="R38" s="436"/>
      <c r="S38" s="436"/>
      <c r="T38" s="436"/>
      <c r="U38" s="436"/>
      <c r="V38" s="3"/>
    </row>
    <row r="39" spans="1:22" ht="20.25" thickTop="1" thickBot="1">
      <c r="A39" s="1199" t="s">
        <v>398</v>
      </c>
      <c r="P39" s="1198" t="s">
        <v>400</v>
      </c>
      <c r="Q39" s="3"/>
      <c r="R39" s="3"/>
      <c r="S39" s="3"/>
      <c r="T39" s="3"/>
      <c r="U39" s="3"/>
      <c r="V39" s="3"/>
    </row>
    <row r="40" spans="1:22" ht="17.25" thickTop="1" thickBot="1">
      <c r="A40" s="1035" t="s">
        <v>411</v>
      </c>
      <c r="B40" s="1035" t="s">
        <v>345</v>
      </c>
      <c r="C40" s="1035">
        <v>2020</v>
      </c>
      <c r="D40" s="1036">
        <v>2021</v>
      </c>
      <c r="E40" s="1035">
        <v>2022</v>
      </c>
      <c r="F40" s="1036">
        <v>2023</v>
      </c>
      <c r="G40" s="1035" t="s">
        <v>672</v>
      </c>
      <c r="H40" s="1036">
        <v>2025</v>
      </c>
      <c r="I40" s="1035">
        <v>2026</v>
      </c>
      <c r="J40" s="1036">
        <v>2027</v>
      </c>
      <c r="K40" s="1035">
        <v>2028</v>
      </c>
      <c r="L40" s="1036">
        <v>2029</v>
      </c>
      <c r="M40" s="1035">
        <v>2030</v>
      </c>
      <c r="P40" s="1189" t="s">
        <v>684</v>
      </c>
      <c r="Q40" s="1190"/>
      <c r="R40" s="1191"/>
      <c r="S40" s="1947" t="s">
        <v>686</v>
      </c>
      <c r="T40" s="1948"/>
      <c r="U40" s="1948"/>
      <c r="V40" s="1949"/>
    </row>
    <row r="41" spans="1:22" ht="15.75" thickBot="1">
      <c r="A41" s="1958" t="s">
        <v>370</v>
      </c>
      <c r="B41" s="1112" t="s">
        <v>369</v>
      </c>
      <c r="C41" s="1101">
        <f t="shared" ref="C41:M41" si="33">C28/(C25+C26)</f>
        <v>0.66603834904127401</v>
      </c>
      <c r="D41" s="1037">
        <f t="shared" si="33"/>
        <v>0.51900867547107254</v>
      </c>
      <c r="E41" s="1037">
        <f t="shared" si="33"/>
        <v>0.79755690880092789</v>
      </c>
      <c r="F41" s="1037">
        <f t="shared" si="33"/>
        <v>0.89931445406356514</v>
      </c>
      <c r="G41" s="1038">
        <f t="shared" si="33"/>
        <v>0.93411632337036665</v>
      </c>
      <c r="H41" s="1037">
        <f t="shared" si="33"/>
        <v>0.96210649401768567</v>
      </c>
      <c r="I41" s="1037">
        <f t="shared" si="33"/>
        <v>0.98425673319830875</v>
      </c>
      <c r="J41" s="1037">
        <f t="shared" si="33"/>
        <v>1.0022220707921932</v>
      </c>
      <c r="K41" s="1037">
        <f t="shared" si="33"/>
        <v>1.0170861366260708</v>
      </c>
      <c r="L41" s="1037">
        <f t="shared" si="33"/>
        <v>1.0295881625816323</v>
      </c>
      <c r="M41" s="1039">
        <f t="shared" si="33"/>
        <v>1.0402497319460291</v>
      </c>
      <c r="P41" s="1085" t="s">
        <v>148</v>
      </c>
      <c r="Q41" s="1085" t="s">
        <v>14</v>
      </c>
      <c r="R41" s="1085" t="s">
        <v>151</v>
      </c>
      <c r="S41" s="1992"/>
      <c r="T41" s="1993"/>
      <c r="U41" s="1993"/>
      <c r="V41" s="1994"/>
    </row>
    <row r="42" spans="1:22" ht="16.5" thickTop="1" thickBot="1">
      <c r="A42" s="1959"/>
      <c r="B42" s="1113" t="s">
        <v>46</v>
      </c>
      <c r="C42" s="1102">
        <f>C41*100</f>
        <v>66.603834904127396</v>
      </c>
      <c r="D42" s="1033">
        <f t="shared" ref="D42:L42" si="34">D41*100</f>
        <v>51.900867547107254</v>
      </c>
      <c r="E42" s="1033">
        <f t="shared" si="34"/>
        <v>79.755690880092786</v>
      </c>
      <c r="F42" s="1033">
        <f t="shared" si="34"/>
        <v>89.931445406356517</v>
      </c>
      <c r="G42" s="1033">
        <f t="shared" si="34"/>
        <v>93.411632337036664</v>
      </c>
      <c r="H42" s="1033">
        <f t="shared" si="34"/>
        <v>96.210649401768563</v>
      </c>
      <c r="I42" s="1033">
        <f t="shared" si="34"/>
        <v>98.425673319830878</v>
      </c>
      <c r="J42" s="1033">
        <f t="shared" si="34"/>
        <v>100.22220707921932</v>
      </c>
      <c r="K42" s="1033">
        <f t="shared" si="34"/>
        <v>101.70861366260708</v>
      </c>
      <c r="L42" s="1033">
        <f t="shared" si="34"/>
        <v>102.95881625816324</v>
      </c>
      <c r="M42" s="1034">
        <f t="shared" ref="M42" si="35">M41*100</f>
        <v>104.02497319460291</v>
      </c>
      <c r="P42" s="1418" t="s">
        <v>96</v>
      </c>
      <c r="Q42" s="1419" t="s">
        <v>45</v>
      </c>
      <c r="R42" s="1420">
        <f t="shared" ref="R42:R50" si="36">AVERAGE(R27:U27)</f>
        <v>21444.25</v>
      </c>
      <c r="S42" s="1995" t="s">
        <v>465</v>
      </c>
      <c r="T42" s="1995"/>
      <c r="U42" s="1995"/>
      <c r="V42" s="1421">
        <f t="shared" ref="V42:V50" si="37">R42/F25</f>
        <v>0.15885217971035964</v>
      </c>
    </row>
    <row r="43" spans="1:22" ht="30.75" thickBot="1">
      <c r="A43" s="1122" t="s">
        <v>448</v>
      </c>
      <c r="B43" s="1121" t="s">
        <v>46</v>
      </c>
      <c r="C43" s="1134" t="s">
        <v>34</v>
      </c>
      <c r="D43" s="1134" t="s">
        <v>34</v>
      </c>
      <c r="E43" s="1134" t="s">
        <v>34</v>
      </c>
      <c r="F43" s="1114">
        <f>AVERAGE(C42:F42)/100</f>
        <v>0.72047959684420992</v>
      </c>
      <c r="G43" s="1115">
        <f>AVERAGE(C42:G42)/100</f>
        <v>0.76320694214944129</v>
      </c>
      <c r="H43" s="798"/>
      <c r="I43" s="798"/>
      <c r="J43" s="798"/>
      <c r="K43" s="798"/>
      <c r="L43" s="798"/>
      <c r="M43" s="1093"/>
      <c r="P43" s="785" t="s">
        <v>97</v>
      </c>
      <c r="Q43" s="1391" t="s">
        <v>45</v>
      </c>
      <c r="R43" s="1197">
        <f t="shared" si="36"/>
        <v>8.5</v>
      </c>
      <c r="S43" s="1967" t="s">
        <v>465</v>
      </c>
      <c r="T43" s="1967"/>
      <c r="U43" s="1968"/>
      <c r="V43" s="1417">
        <f t="shared" si="37"/>
        <v>3.1716417910447763E-2</v>
      </c>
    </row>
    <row r="44" spans="1:22">
      <c r="A44" s="1091" t="s">
        <v>371</v>
      </c>
      <c r="B44" s="1116" t="s">
        <v>369</v>
      </c>
      <c r="C44" s="1117">
        <f>C31/C25</f>
        <v>0.33647839836909649</v>
      </c>
      <c r="D44" s="1118">
        <f>D31/D25</f>
        <v>0.32693461307738453</v>
      </c>
      <c r="E44" s="1118">
        <f>E31/E25</f>
        <v>0.41410181818181818</v>
      </c>
      <c r="F44" s="1118">
        <f>F31/F25</f>
        <v>0.51831549316641357</v>
      </c>
      <c r="G44" s="1118">
        <f>G31/G25</f>
        <v>0.49498764625783276</v>
      </c>
      <c r="H44" s="1118">
        <f t="shared" ref="H44:M44" si="38">H31/H25</f>
        <v>0.51149089830510786</v>
      </c>
      <c r="I44" s="1118">
        <f t="shared" si="38"/>
        <v>0.52454462381967715</v>
      </c>
      <c r="J44" s="1118">
        <f t="shared" si="38"/>
        <v>0.53512802155920347</v>
      </c>
      <c r="K44" s="1118">
        <f t="shared" si="38"/>
        <v>0.543881713668392</v>
      </c>
      <c r="L44" s="1118">
        <f t="shared" si="38"/>
        <v>0.551242439111718</v>
      </c>
      <c r="M44" s="1119">
        <f t="shared" si="38"/>
        <v>0.5575181852081611</v>
      </c>
      <c r="P44" s="788" t="s">
        <v>140</v>
      </c>
      <c r="Q44" s="1166" t="s">
        <v>45</v>
      </c>
      <c r="R44" s="1193">
        <f t="shared" si="36"/>
        <v>21372</v>
      </c>
      <c r="S44" s="1967" t="s">
        <v>465</v>
      </c>
      <c r="T44" s="1967"/>
      <c r="U44" s="1968"/>
      <c r="V44" s="1195">
        <f t="shared" si="37"/>
        <v>0.15849308465274944</v>
      </c>
    </row>
    <row r="45" spans="1:22" ht="30.75" thickBot="1">
      <c r="A45" s="1094" t="s">
        <v>449</v>
      </c>
      <c r="B45" s="1120" t="s">
        <v>369</v>
      </c>
      <c r="C45" s="1132" t="s">
        <v>34</v>
      </c>
      <c r="D45" s="1133" t="s">
        <v>34</v>
      </c>
      <c r="E45" s="1133" t="s">
        <v>34</v>
      </c>
      <c r="F45" s="1103">
        <f>AVERAGE(C44:F44)</f>
        <v>0.3989575806986782</v>
      </c>
      <c r="G45" s="1103">
        <f>AVERAGE(C44:G44)</f>
        <v>0.41816359381050916</v>
      </c>
      <c r="H45" s="1103"/>
      <c r="I45" s="1103"/>
      <c r="J45" s="1103"/>
      <c r="K45" s="1103"/>
      <c r="L45" s="1103"/>
      <c r="M45" s="1104"/>
      <c r="P45" s="788" t="s">
        <v>141</v>
      </c>
      <c r="Q45" s="1166" t="s">
        <v>45</v>
      </c>
      <c r="R45" s="1193">
        <f t="shared" si="36"/>
        <v>25194.838499999998</v>
      </c>
      <c r="S45" s="1967" t="s">
        <v>465</v>
      </c>
      <c r="T45" s="1967"/>
      <c r="U45" s="1968"/>
      <c r="V45" s="1195">
        <f>R45/F28</f>
        <v>0.20711950039842086</v>
      </c>
    </row>
    <row r="46" spans="1:22" ht="30.75" thickBot="1">
      <c r="A46" s="1122" t="s">
        <v>372</v>
      </c>
      <c r="B46" s="1110" t="s">
        <v>46</v>
      </c>
      <c r="C46" s="1134" t="s">
        <v>34</v>
      </c>
      <c r="D46" s="1134" t="s">
        <v>34</v>
      </c>
      <c r="E46" s="1134" t="s">
        <v>34</v>
      </c>
      <c r="F46" s="1114">
        <f>F45</f>
        <v>0.3989575806986782</v>
      </c>
      <c r="G46" s="1111">
        <f>G45</f>
        <v>0.41816359381050916</v>
      </c>
      <c r="H46" s="1095"/>
      <c r="I46" s="1095"/>
      <c r="J46" s="1095"/>
      <c r="K46" s="1095"/>
      <c r="L46" s="1095"/>
      <c r="M46" s="1096"/>
      <c r="P46" s="788" t="s">
        <v>408</v>
      </c>
      <c r="Q46" s="1166" t="s">
        <v>142</v>
      </c>
      <c r="R46" s="1193">
        <f t="shared" si="36"/>
        <v>13.75</v>
      </c>
      <c r="S46" s="1967" t="s">
        <v>465</v>
      </c>
      <c r="T46" s="1967"/>
      <c r="U46" s="1968"/>
      <c r="V46" s="1195">
        <f t="shared" si="37"/>
        <v>0.14322916666666666</v>
      </c>
    </row>
    <row r="47" spans="1:22" ht="15.75" thickBot="1">
      <c r="A47" s="716" t="s">
        <v>401</v>
      </c>
      <c r="B47" s="1123" t="s">
        <v>345</v>
      </c>
      <c r="C47" s="1035">
        <v>2013</v>
      </c>
      <c r="D47" s="1036">
        <v>2014</v>
      </c>
      <c r="E47" s="1035">
        <v>2015</v>
      </c>
      <c r="F47" s="1036">
        <v>2016</v>
      </c>
      <c r="G47" s="1035">
        <v>2017</v>
      </c>
      <c r="H47" s="1036">
        <v>2018</v>
      </c>
      <c r="I47" s="1035">
        <v>2019</v>
      </c>
      <c r="J47" s="1036">
        <v>2020</v>
      </c>
      <c r="K47" s="1035">
        <v>2021</v>
      </c>
      <c r="L47" s="1036">
        <v>2022</v>
      </c>
      <c r="M47" s="1035">
        <v>2023</v>
      </c>
      <c r="P47" s="788" t="s">
        <v>143</v>
      </c>
      <c r="Q47" s="1166" t="s">
        <v>45</v>
      </c>
      <c r="R47" s="1193">
        <f t="shared" si="36"/>
        <v>11728.5</v>
      </c>
      <c r="S47" s="1967" t="s">
        <v>465</v>
      </c>
      <c r="T47" s="1967"/>
      <c r="U47" s="1968"/>
      <c r="V47" s="1195">
        <f t="shared" si="37"/>
        <v>0.36171164225134927</v>
      </c>
    </row>
    <row r="48" spans="1:22" ht="30" customHeight="1">
      <c r="A48" s="1960" t="s">
        <v>450</v>
      </c>
      <c r="B48" s="1124" t="s">
        <v>139</v>
      </c>
      <c r="C48" s="1126" t="s">
        <v>34</v>
      </c>
      <c r="D48" s="1127" t="s">
        <v>34</v>
      </c>
      <c r="E48" s="1127" t="s">
        <v>34</v>
      </c>
      <c r="F48" s="1127" t="s">
        <v>34</v>
      </c>
      <c r="G48" s="1128" t="s">
        <v>34</v>
      </c>
      <c r="H48" s="1097">
        <f t="shared" ref="H48:M48" si="39">H60/$F$60</f>
        <v>4.1666666666666666E-3</v>
      </c>
      <c r="I48" s="1098">
        <f t="shared" si="39"/>
        <v>0.11</v>
      </c>
      <c r="J48" s="1098">
        <f t="shared" si="39"/>
        <v>0.12</v>
      </c>
      <c r="K48" s="1098">
        <f t="shared" si="39"/>
        <v>0.12999999999999998</v>
      </c>
      <c r="L48" s="1098">
        <f t="shared" si="39"/>
        <v>0.13999999999999999</v>
      </c>
      <c r="M48" s="1099">
        <f t="shared" si="39"/>
        <v>0.15</v>
      </c>
      <c r="P48" s="788" t="s">
        <v>144</v>
      </c>
      <c r="Q48" s="1166" t="s">
        <v>45</v>
      </c>
      <c r="R48" s="1193">
        <f t="shared" si="36"/>
        <v>13647</v>
      </c>
      <c r="S48" s="1967" t="s">
        <v>465</v>
      </c>
      <c r="T48" s="1967"/>
      <c r="U48" s="1968"/>
      <c r="V48" s="1195">
        <f t="shared" si="37"/>
        <v>0.19504073174217521</v>
      </c>
    </row>
    <row r="49" spans="1:23" ht="15.75" thickBot="1">
      <c r="A49" s="1961"/>
      <c r="B49" s="1125" t="s">
        <v>46</v>
      </c>
      <c r="C49" s="1129" t="s">
        <v>34</v>
      </c>
      <c r="D49" s="1130" t="s">
        <v>34</v>
      </c>
      <c r="E49" s="1130" t="s">
        <v>34</v>
      </c>
      <c r="F49" s="1130" t="s">
        <v>34</v>
      </c>
      <c r="G49" s="1131" t="s">
        <v>34</v>
      </c>
      <c r="H49" s="1100">
        <f t="shared" ref="H49:L49" si="40">H48*100</f>
        <v>0.41666666666666669</v>
      </c>
      <c r="I49" s="1579">
        <f t="shared" si="40"/>
        <v>11</v>
      </c>
      <c r="J49" s="1579">
        <f t="shared" si="40"/>
        <v>12</v>
      </c>
      <c r="K49" s="1579">
        <f t="shared" si="40"/>
        <v>12.999999999999998</v>
      </c>
      <c r="L49" s="1579">
        <f t="shared" si="40"/>
        <v>13.999999999999998</v>
      </c>
      <c r="M49" s="1580">
        <f t="shared" ref="M49" si="41">M48*100</f>
        <v>15</v>
      </c>
      <c r="P49" s="1086" t="s">
        <v>145</v>
      </c>
      <c r="Q49" s="1166" t="s">
        <v>45</v>
      </c>
      <c r="R49" s="1193">
        <f t="shared" si="36"/>
        <v>7846</v>
      </c>
      <c r="S49" s="1967" t="s">
        <v>465</v>
      </c>
      <c r="T49" s="1967"/>
      <c r="U49" s="1968"/>
      <c r="V49" s="1195">
        <f t="shared" si="37"/>
        <v>0.12000978922573342</v>
      </c>
    </row>
    <row r="50" spans="1:23" ht="45.75" thickBot="1">
      <c r="A50" s="1122" t="s">
        <v>451</v>
      </c>
      <c r="B50" s="1202" t="s">
        <v>46</v>
      </c>
      <c r="C50" s="1203" t="s">
        <v>34</v>
      </c>
      <c r="D50" s="1203" t="s">
        <v>34</v>
      </c>
      <c r="E50" s="1203" t="s">
        <v>34</v>
      </c>
      <c r="F50" s="1203" t="s">
        <v>34</v>
      </c>
      <c r="G50" s="1203" t="s">
        <v>34</v>
      </c>
      <c r="H50" s="1203" t="s">
        <v>34</v>
      </c>
      <c r="I50" s="1203" t="s">
        <v>34</v>
      </c>
      <c r="J50" s="1203" t="s">
        <v>34</v>
      </c>
      <c r="K50" s="1203" t="s">
        <v>34</v>
      </c>
      <c r="L50" s="1204" t="s">
        <v>34</v>
      </c>
      <c r="M50" s="1205">
        <f>AVERAGE(I49:M49)/100</f>
        <v>0.13</v>
      </c>
      <c r="P50" s="1087" t="s">
        <v>146</v>
      </c>
      <c r="Q50" s="1167" t="s">
        <v>147</v>
      </c>
      <c r="R50" s="1194">
        <f t="shared" si="36"/>
        <v>-1.2572605965463026</v>
      </c>
      <c r="S50" s="1967" t="s">
        <v>465</v>
      </c>
      <c r="T50" s="1967"/>
      <c r="U50" s="1968"/>
      <c r="V50" s="1196">
        <f t="shared" si="37"/>
        <v>-8.9507966382472502E-4</v>
      </c>
    </row>
    <row r="51" spans="1:23" ht="30">
      <c r="A51" s="1094" t="s">
        <v>406</v>
      </c>
      <c r="B51" s="1206" t="s">
        <v>139</v>
      </c>
      <c r="C51" s="1207" t="s">
        <v>34</v>
      </c>
      <c r="D51" s="1207" t="s">
        <v>34</v>
      </c>
      <c r="E51" s="1207" t="s">
        <v>34</v>
      </c>
      <c r="F51" s="1207" t="s">
        <v>34</v>
      </c>
      <c r="G51" s="1207" t="s">
        <v>34</v>
      </c>
      <c r="H51" s="1127">
        <f>H60/H25</f>
        <v>3.0612235642216335E-3</v>
      </c>
      <c r="I51" s="1127">
        <f t="shared" ref="I51:M51" si="42">I60/I25</f>
        <v>7.237014925373135E-2</v>
      </c>
      <c r="J51" s="1127">
        <f t="shared" si="42"/>
        <v>7.1478952088575409E-2</v>
      </c>
      <c r="K51" s="1127">
        <f t="shared" si="42"/>
        <v>7.0741829116883537E-2</v>
      </c>
      <c r="L51" s="1127">
        <f t="shared" si="42"/>
        <v>7.0122003819750089E-2</v>
      </c>
      <c r="M51" s="1128">
        <f t="shared" si="42"/>
        <v>6.9593541480146209E-2</v>
      </c>
      <c r="Q51" s="2"/>
    </row>
    <row r="52" spans="1:23" ht="30.75" thickBot="1">
      <c r="A52" s="1200" t="s">
        <v>407</v>
      </c>
      <c r="B52" s="1208" t="s">
        <v>46</v>
      </c>
      <c r="C52" s="1209" t="s">
        <v>34</v>
      </c>
      <c r="D52" s="1209" t="s">
        <v>34</v>
      </c>
      <c r="E52" s="1209" t="s">
        <v>34</v>
      </c>
      <c r="F52" s="1209" t="s">
        <v>34</v>
      </c>
      <c r="G52" s="1209" t="s">
        <v>34</v>
      </c>
      <c r="H52" s="1210">
        <f>H51*100</f>
        <v>0.30612235642216334</v>
      </c>
      <c r="I52" s="1210">
        <f t="shared" ref="I52:M52" si="43">I51*100</f>
        <v>7.2370149253731348</v>
      </c>
      <c r="J52" s="1210">
        <f t="shared" si="43"/>
        <v>7.1478952088575411</v>
      </c>
      <c r="K52" s="1210">
        <f t="shared" si="43"/>
        <v>7.0741829116883537</v>
      </c>
      <c r="L52" s="1210">
        <f t="shared" si="43"/>
        <v>7.0122003819750089</v>
      </c>
      <c r="M52" s="1212">
        <f t="shared" si="43"/>
        <v>6.9593541480146213</v>
      </c>
      <c r="Q52" s="2"/>
    </row>
    <row r="53" spans="1:23" ht="48.75" customHeight="1" thickBot="1">
      <c r="A53" s="1201" t="s">
        <v>452</v>
      </c>
      <c r="B53" s="1120" t="s">
        <v>46</v>
      </c>
      <c r="C53" s="1133" t="s">
        <v>34</v>
      </c>
      <c r="D53" s="1133" t="s">
        <v>34</v>
      </c>
      <c r="E53" s="1133" t="s">
        <v>34</v>
      </c>
      <c r="F53" s="1133" t="s">
        <v>34</v>
      </c>
      <c r="G53" s="1133" t="s">
        <v>34</v>
      </c>
      <c r="H53" s="1133" t="s">
        <v>34</v>
      </c>
      <c r="I53" s="1133" t="s">
        <v>34</v>
      </c>
      <c r="J53" s="1133" t="s">
        <v>34</v>
      </c>
      <c r="K53" s="1133" t="s">
        <v>34</v>
      </c>
      <c r="L53" s="1211" t="s">
        <v>34</v>
      </c>
      <c r="M53" s="1213">
        <f>AVERAGE(H52:M52)/100</f>
        <v>5.9561283220551368E-2</v>
      </c>
      <c r="Q53" s="2"/>
    </row>
    <row r="54" spans="1:23" ht="15.75" thickBot="1">
      <c r="P54" s="1092"/>
      <c r="Q54" s="1134"/>
    </row>
    <row r="55" spans="1:23" ht="20.25" customHeight="1" thickTop="1" thickBot="1">
      <c r="A55" s="1937" t="s">
        <v>393</v>
      </c>
      <c r="B55" s="1938"/>
      <c r="P55" s="1199" t="s">
        <v>412</v>
      </c>
    </row>
    <row r="56" spans="1:23" ht="17.25" thickTop="1" thickBot="1">
      <c r="A56" s="760" t="s">
        <v>489</v>
      </c>
      <c r="F56" s="1338" t="s">
        <v>391</v>
      </c>
      <c r="G56" s="46"/>
      <c r="H56" s="1336" t="s">
        <v>403</v>
      </c>
      <c r="P56" s="1969" t="s">
        <v>687</v>
      </c>
      <c r="Q56" s="1970"/>
      <c r="R56" s="1970"/>
      <c r="S56" s="1970"/>
      <c r="T56" s="1970"/>
      <c r="U56" s="1970"/>
      <c r="V56" s="1970"/>
      <c r="W56" s="1971"/>
    </row>
    <row r="57" spans="1:23" ht="15.75">
      <c r="A57" s="1942" t="s">
        <v>137</v>
      </c>
      <c r="B57" s="1942" t="s">
        <v>402</v>
      </c>
      <c r="C57" s="340">
        <v>2020</v>
      </c>
      <c r="D57" s="340">
        <v>2021</v>
      </c>
      <c r="E57" s="340">
        <v>2022</v>
      </c>
      <c r="F57" s="333">
        <v>2023</v>
      </c>
      <c r="G57" s="931" t="s">
        <v>672</v>
      </c>
      <c r="H57" s="294">
        <v>2025</v>
      </c>
      <c r="I57" s="295">
        <v>2026</v>
      </c>
      <c r="J57" s="296">
        <v>2027</v>
      </c>
      <c r="K57" s="296">
        <v>2028</v>
      </c>
      <c r="L57" s="295">
        <v>2029</v>
      </c>
      <c r="M57" s="295">
        <v>2030</v>
      </c>
      <c r="P57" s="1953" t="s">
        <v>397</v>
      </c>
      <c r="Q57" s="1953" t="s">
        <v>402</v>
      </c>
      <c r="R57" s="1949">
        <v>2025</v>
      </c>
      <c r="S57" s="1953" t="s">
        <v>688</v>
      </c>
      <c r="T57" s="1953" t="s">
        <v>689</v>
      </c>
      <c r="U57" s="1953" t="s">
        <v>690</v>
      </c>
      <c r="V57" s="1953" t="s">
        <v>691</v>
      </c>
      <c r="W57" s="1953" t="s">
        <v>692</v>
      </c>
    </row>
    <row r="58" spans="1:23" ht="16.5" thickBot="1">
      <c r="A58" s="1957"/>
      <c r="B58" s="1957"/>
      <c r="C58" s="341" t="s">
        <v>326</v>
      </c>
      <c r="D58" s="341" t="s">
        <v>325</v>
      </c>
      <c r="E58" s="341" t="s">
        <v>324</v>
      </c>
      <c r="F58" s="883" t="s">
        <v>323</v>
      </c>
      <c r="G58" s="1014" t="s">
        <v>327</v>
      </c>
      <c r="H58" s="301" t="s">
        <v>135</v>
      </c>
      <c r="I58" s="302" t="s">
        <v>177</v>
      </c>
      <c r="J58" s="303" t="s">
        <v>178</v>
      </c>
      <c r="K58" s="303" t="s">
        <v>179</v>
      </c>
      <c r="L58" s="303" t="s">
        <v>180</v>
      </c>
      <c r="M58" s="303" t="s">
        <v>181</v>
      </c>
      <c r="P58" s="1972"/>
      <c r="Q58" s="1972"/>
      <c r="R58" s="1952"/>
      <c r="S58" s="1954"/>
      <c r="T58" s="1954"/>
      <c r="U58" s="1954"/>
      <c r="V58" s="1954"/>
      <c r="W58" s="1954"/>
    </row>
    <row r="59" spans="1:23" ht="16.5" thickBot="1">
      <c r="A59" s="1943"/>
      <c r="B59" s="1943"/>
      <c r="C59" s="334"/>
      <c r="D59" s="334"/>
      <c r="E59" s="334"/>
      <c r="F59" s="334"/>
      <c r="G59" s="334"/>
      <c r="H59" s="334"/>
      <c r="I59" s="1414"/>
      <c r="J59" s="334"/>
      <c r="K59" s="334"/>
      <c r="L59" s="335"/>
      <c r="M59" s="335"/>
      <c r="P59" s="1954"/>
      <c r="Q59" s="1954"/>
      <c r="R59" s="1137" t="s">
        <v>135</v>
      </c>
      <c r="S59" s="1089" t="s">
        <v>177</v>
      </c>
      <c r="T59" s="1089" t="s">
        <v>178</v>
      </c>
      <c r="U59" s="1089" t="s">
        <v>179</v>
      </c>
      <c r="V59" s="1089" t="s">
        <v>180</v>
      </c>
      <c r="W59" s="1089" t="s">
        <v>181</v>
      </c>
    </row>
    <row r="60" spans="1:23" ht="17.25" thickTop="1" thickBot="1">
      <c r="A60" s="336" t="s">
        <v>96</v>
      </c>
      <c r="B60" s="337" t="s">
        <v>45</v>
      </c>
      <c r="C60" s="1230" t="s">
        <v>34</v>
      </c>
      <c r="D60" s="1207" t="s">
        <v>34</v>
      </c>
      <c r="E60" s="1231" t="s">
        <v>34</v>
      </c>
      <c r="F60" s="338">
        <f t="shared" ref="F60:F68" si="44">F25</f>
        <v>134995</v>
      </c>
      <c r="G60" s="1226" t="s">
        <v>34</v>
      </c>
      <c r="H60" s="1413">
        <f>'Provozní výnosy'!D42/1000</f>
        <v>562.47916666666663</v>
      </c>
      <c r="I60" s="1416">
        <f>'Provozní výnosy'!E41/1000</f>
        <v>14849.45</v>
      </c>
      <c r="J60" s="1018">
        <f>'Provozní výnosy'!F41/1000</f>
        <v>16199.4</v>
      </c>
      <c r="K60" s="363">
        <f>'Provozní výnosy'!G41/1000</f>
        <v>17549.349999999999</v>
      </c>
      <c r="L60" s="363">
        <f>'Provozní výnosy'!H41/1000</f>
        <v>18899.3</v>
      </c>
      <c r="M60" s="364">
        <f>'Provozní výnosy'!I41/1000</f>
        <v>20249.25</v>
      </c>
      <c r="P60" s="386" t="s">
        <v>96</v>
      </c>
      <c r="Q60" s="1141" t="s">
        <v>45</v>
      </c>
      <c r="R60" s="1138">
        <f t="shared" ref="R60:R68" si="45">H60</f>
        <v>562.47916666666663</v>
      </c>
      <c r="S60" s="890">
        <f t="shared" ref="S60:S68" si="46">I60-H60</f>
        <v>14286.970833333335</v>
      </c>
      <c r="T60" s="890">
        <f t="shared" ref="T60:T68" si="47">J60-I60</f>
        <v>1349.9499999999989</v>
      </c>
      <c r="U60" s="890">
        <f t="shared" ref="U60:U68" si="48">K60-J60</f>
        <v>1349.9499999999989</v>
      </c>
      <c r="V60" s="890">
        <f t="shared" ref="V60:V68" si="49">L60-K60</f>
        <v>1349.9500000000007</v>
      </c>
      <c r="W60" s="949">
        <f t="shared" ref="W60:W68" si="50">M60-L60</f>
        <v>1349.9500000000007</v>
      </c>
    </row>
    <row r="61" spans="1:23" ht="16.5" thickTop="1">
      <c r="A61" s="345" t="s">
        <v>97</v>
      </c>
      <c r="B61" s="346" t="s">
        <v>45</v>
      </c>
      <c r="C61" s="1234" t="s">
        <v>34</v>
      </c>
      <c r="D61" s="1209" t="s">
        <v>34</v>
      </c>
      <c r="E61" s="1235" t="s">
        <v>34</v>
      </c>
      <c r="F61" s="349">
        <f t="shared" si="44"/>
        <v>268</v>
      </c>
      <c r="G61" s="1141" t="s">
        <v>34</v>
      </c>
      <c r="H61" s="940">
        <f>'Provozní výnosy'!D43</f>
        <v>0</v>
      </c>
      <c r="I61" s="1415">
        <f>'Provozní výnosy'!E43/1000</f>
        <v>0</v>
      </c>
      <c r="J61" s="363">
        <f>'Provozní výnosy'!F43/1000</f>
        <v>0</v>
      </c>
      <c r="K61" s="363">
        <f>'Provozní výnosy'!G43/1000</f>
        <v>0</v>
      </c>
      <c r="L61" s="363">
        <f>'Provozní výnosy'!H43/1000</f>
        <v>0</v>
      </c>
      <c r="M61" s="364">
        <f>'Provozní výnosy'!I43/1000</f>
        <v>0</v>
      </c>
      <c r="P61" s="387" t="s">
        <v>97</v>
      </c>
      <c r="Q61" s="1141" t="s">
        <v>45</v>
      </c>
      <c r="R61" s="1138">
        <f t="shared" si="45"/>
        <v>0</v>
      </c>
      <c r="S61" s="890">
        <f t="shared" si="46"/>
        <v>0</v>
      </c>
      <c r="T61" s="890">
        <f t="shared" si="47"/>
        <v>0</v>
      </c>
      <c r="U61" s="890">
        <f t="shared" si="48"/>
        <v>0</v>
      </c>
      <c r="V61" s="890">
        <f t="shared" si="49"/>
        <v>0</v>
      </c>
      <c r="W61" s="949">
        <f t="shared" si="50"/>
        <v>0</v>
      </c>
    </row>
    <row r="62" spans="1:23" ht="31.5">
      <c r="A62" s="345" t="s">
        <v>404</v>
      </c>
      <c r="B62" s="353" t="s">
        <v>45</v>
      </c>
      <c r="C62" s="1234" t="s">
        <v>34</v>
      </c>
      <c r="D62" s="1209" t="s">
        <v>34</v>
      </c>
      <c r="E62" s="1235" t="s">
        <v>34</v>
      </c>
      <c r="F62" s="1106">
        <f t="shared" si="44"/>
        <v>134845</v>
      </c>
      <c r="G62" s="40" t="s">
        <v>34</v>
      </c>
      <c r="H62" s="1020">
        <f>H60</f>
        <v>562.47916666666663</v>
      </c>
      <c r="I62" s="1107">
        <f t="shared" ref="I62:L62" si="51">I60</f>
        <v>14849.45</v>
      </c>
      <c r="J62" s="1108">
        <f t="shared" si="51"/>
        <v>16199.4</v>
      </c>
      <c r="K62" s="1108">
        <f t="shared" si="51"/>
        <v>17549.349999999999</v>
      </c>
      <c r="L62" s="1108">
        <f t="shared" si="51"/>
        <v>18899.3</v>
      </c>
      <c r="M62" s="1109">
        <f t="shared" ref="M62" si="52">M60</f>
        <v>20249.25</v>
      </c>
      <c r="P62" s="788" t="s">
        <v>140</v>
      </c>
      <c r="Q62" s="40" t="s">
        <v>45</v>
      </c>
      <c r="R62" s="1139">
        <f t="shared" si="45"/>
        <v>562.47916666666663</v>
      </c>
      <c r="S62" s="1135">
        <f t="shared" si="46"/>
        <v>14286.970833333335</v>
      </c>
      <c r="T62" s="1135">
        <f t="shared" si="47"/>
        <v>1349.9499999999989</v>
      </c>
      <c r="U62" s="1135">
        <f t="shared" si="48"/>
        <v>1349.9499999999989</v>
      </c>
      <c r="V62" s="1135">
        <f t="shared" si="49"/>
        <v>1349.9500000000007</v>
      </c>
      <c r="W62" s="1136">
        <f t="shared" si="50"/>
        <v>1349.9500000000007</v>
      </c>
    </row>
    <row r="63" spans="1:23" ht="15.75">
      <c r="A63" s="345" t="s">
        <v>368</v>
      </c>
      <c r="B63" s="346" t="s">
        <v>45</v>
      </c>
      <c r="C63" s="1234" t="s">
        <v>34</v>
      </c>
      <c r="D63" s="1209" t="s">
        <v>34</v>
      </c>
      <c r="E63" s="1235" t="s">
        <v>34</v>
      </c>
      <c r="F63" s="349">
        <f t="shared" si="44"/>
        <v>121643.97100000001</v>
      </c>
      <c r="G63" s="1141" t="s">
        <v>34</v>
      </c>
      <c r="H63" s="940">
        <f>$G$43*(H60+H61)</f>
        <v>429.28800481443261</v>
      </c>
      <c r="I63" s="1018">
        <f t="shared" ref="I63:M63" si="53">$G$43*(I60+I61)</f>
        <v>11333.203327101022</v>
      </c>
      <c r="J63" s="1018">
        <f t="shared" si="53"/>
        <v>12363.494538655659</v>
      </c>
      <c r="K63" s="1018">
        <f t="shared" si="53"/>
        <v>13393.785750210296</v>
      </c>
      <c r="L63" s="1018">
        <f t="shared" si="53"/>
        <v>14424.076961764935</v>
      </c>
      <c r="M63" s="1105">
        <f t="shared" si="53"/>
        <v>15454.368173319574</v>
      </c>
      <c r="P63" s="387" t="s">
        <v>141</v>
      </c>
      <c r="Q63" s="1141" t="s">
        <v>45</v>
      </c>
      <c r="R63" s="1138">
        <f t="shared" si="45"/>
        <v>429.28800481443261</v>
      </c>
      <c r="S63" s="890">
        <f t="shared" si="46"/>
        <v>10903.91532228659</v>
      </c>
      <c r="T63" s="890">
        <f t="shared" si="47"/>
        <v>1030.2912115546369</v>
      </c>
      <c r="U63" s="890">
        <f t="shared" si="48"/>
        <v>1030.2912115546369</v>
      </c>
      <c r="V63" s="890">
        <f t="shared" si="49"/>
        <v>1030.2912115546387</v>
      </c>
      <c r="W63" s="949">
        <f t="shared" si="50"/>
        <v>1030.2912115546387</v>
      </c>
    </row>
    <row r="64" spans="1:23" ht="15.75">
      <c r="A64" s="352" t="s">
        <v>408</v>
      </c>
      <c r="B64" s="353" t="s">
        <v>142</v>
      </c>
      <c r="C64" s="1234" t="s">
        <v>34</v>
      </c>
      <c r="D64" s="1209" t="s">
        <v>34</v>
      </c>
      <c r="E64" s="1235" t="s">
        <v>34</v>
      </c>
      <c r="F64" s="349">
        <f t="shared" si="44"/>
        <v>96</v>
      </c>
      <c r="G64" s="1141" t="s">
        <v>34</v>
      </c>
      <c r="H64" s="1020">
        <f>'Provozní náklady'!D70</f>
        <v>12</v>
      </c>
      <c r="I64" s="1018">
        <f>'Provozní náklady'!F70</f>
        <v>12</v>
      </c>
      <c r="J64" s="363">
        <f>'Provozní náklady'!G70</f>
        <v>12</v>
      </c>
      <c r="K64" s="363">
        <f>'Provozní náklady'!H70</f>
        <v>12</v>
      </c>
      <c r="L64" s="363">
        <f>'Provozní náklady'!I70</f>
        <v>12</v>
      </c>
      <c r="M64" s="364">
        <f>'Provozní náklady'!J70</f>
        <v>12</v>
      </c>
      <c r="P64" s="387" t="s">
        <v>408</v>
      </c>
      <c r="Q64" s="1141" t="s">
        <v>142</v>
      </c>
      <c r="R64" s="1138">
        <f t="shared" si="45"/>
        <v>12</v>
      </c>
      <c r="S64" s="890">
        <f t="shared" si="46"/>
        <v>0</v>
      </c>
      <c r="T64" s="890">
        <f t="shared" si="47"/>
        <v>0</v>
      </c>
      <c r="U64" s="890">
        <f t="shared" si="48"/>
        <v>0</v>
      </c>
      <c r="V64" s="890">
        <f t="shared" si="49"/>
        <v>0</v>
      </c>
      <c r="W64" s="949">
        <f t="shared" si="50"/>
        <v>0</v>
      </c>
    </row>
    <row r="65" spans="1:23" ht="15.75">
      <c r="A65" s="345" t="s">
        <v>143</v>
      </c>
      <c r="B65" s="346" t="s">
        <v>45</v>
      </c>
      <c r="C65" s="1234" t="s">
        <v>34</v>
      </c>
      <c r="D65" s="1209" t="s">
        <v>34</v>
      </c>
      <c r="E65" s="1235" t="s">
        <v>34</v>
      </c>
      <c r="F65" s="349">
        <f t="shared" si="44"/>
        <v>32425</v>
      </c>
      <c r="G65" s="1141" t="s">
        <v>34</v>
      </c>
      <c r="H65" s="940">
        <f>H30*H51</f>
        <v>197.9800421806878</v>
      </c>
      <c r="I65" s="1018">
        <f>I30*I51</f>
        <v>5529.2241432835826</v>
      </c>
      <c r="J65" s="1018">
        <f t="shared" ref="J65:M65" si="54">J30*J51</f>
        <v>6299.4757870421954</v>
      </c>
      <c r="K65" s="1018">
        <f t="shared" si="54"/>
        <v>7064.2083137828731</v>
      </c>
      <c r="L65" s="1018">
        <f t="shared" si="54"/>
        <v>7824.7391012363632</v>
      </c>
      <c r="M65" s="1105">
        <f t="shared" si="54"/>
        <v>8581.9971611657093</v>
      </c>
      <c r="P65" s="387" t="s">
        <v>143</v>
      </c>
      <c r="Q65" s="1141" t="s">
        <v>45</v>
      </c>
      <c r="R65" s="1138">
        <f t="shared" si="45"/>
        <v>197.9800421806878</v>
      </c>
      <c r="S65" s="890">
        <f t="shared" si="46"/>
        <v>5331.244101102895</v>
      </c>
      <c r="T65" s="890">
        <f t="shared" si="47"/>
        <v>770.25164375861277</v>
      </c>
      <c r="U65" s="890">
        <f t="shared" si="48"/>
        <v>764.73252674067771</v>
      </c>
      <c r="V65" s="890">
        <f t="shared" si="49"/>
        <v>760.53078745349012</v>
      </c>
      <c r="W65" s="949">
        <f t="shared" si="50"/>
        <v>757.25805992934602</v>
      </c>
    </row>
    <row r="66" spans="1:23" ht="15.75">
      <c r="A66" s="354" t="s">
        <v>144</v>
      </c>
      <c r="B66" s="355" t="s">
        <v>45</v>
      </c>
      <c r="C66" s="1234" t="s">
        <v>34</v>
      </c>
      <c r="D66" s="1209" t="s">
        <v>34</v>
      </c>
      <c r="E66" s="1235" t="s">
        <v>34</v>
      </c>
      <c r="F66" s="349">
        <f t="shared" si="44"/>
        <v>69970</v>
      </c>
      <c r="G66" s="1141" t="s">
        <v>34</v>
      </c>
      <c r="H66" s="940">
        <f>$G$46*H60</f>
        <v>235.20830977687368</v>
      </c>
      <c r="I66" s="1018">
        <f>$G$46*I60</f>
        <v>6209.4993781094654</v>
      </c>
      <c r="J66" s="1018">
        <f t="shared" ref="J66:M66" si="55">$G$46*J60</f>
        <v>6773.9993215739623</v>
      </c>
      <c r="K66" s="1018">
        <f t="shared" si="55"/>
        <v>7338.4992650384584</v>
      </c>
      <c r="L66" s="1018">
        <f t="shared" si="55"/>
        <v>7902.9992085029553</v>
      </c>
      <c r="M66" s="1105">
        <f t="shared" si="55"/>
        <v>8467.4991519674531</v>
      </c>
      <c r="P66" s="387" t="s">
        <v>144</v>
      </c>
      <c r="Q66" s="1141" t="s">
        <v>45</v>
      </c>
      <c r="R66" s="1138">
        <f t="shared" si="45"/>
        <v>235.20830977687368</v>
      </c>
      <c r="S66" s="890">
        <f t="shared" si="46"/>
        <v>5974.2910683325917</v>
      </c>
      <c r="T66" s="890">
        <f t="shared" si="47"/>
        <v>564.49994346449694</v>
      </c>
      <c r="U66" s="890">
        <f t="shared" si="48"/>
        <v>564.49994346449603</v>
      </c>
      <c r="V66" s="890">
        <f t="shared" si="49"/>
        <v>564.49994346449694</v>
      </c>
      <c r="W66" s="949">
        <f t="shared" si="50"/>
        <v>564.49994346449785</v>
      </c>
    </row>
    <row r="67" spans="1:23" ht="15.75">
      <c r="A67" s="356" t="s">
        <v>145</v>
      </c>
      <c r="B67" s="346" t="s">
        <v>45</v>
      </c>
      <c r="C67" s="1234" t="s">
        <v>34</v>
      </c>
      <c r="D67" s="1209" t="s">
        <v>34</v>
      </c>
      <c r="E67" s="1235" t="s">
        <v>34</v>
      </c>
      <c r="F67" s="349">
        <f t="shared" si="44"/>
        <v>65378</v>
      </c>
      <c r="G67" s="1141" t="s">
        <v>34</v>
      </c>
      <c r="H67" s="940">
        <f>('Provozní náklady'!D151)/1000</f>
        <v>805.34721791666664</v>
      </c>
      <c r="I67" s="1018">
        <f>'Provozní náklady'!E151/1000</f>
        <v>9684.2636389583331</v>
      </c>
      <c r="J67" s="1018">
        <f>'Provozní náklady'!F151/1000</f>
        <v>9879.3555679979163</v>
      </c>
      <c r="K67" s="1018">
        <f>'Provozní náklady'!G151/1000</f>
        <v>10078.598534652874</v>
      </c>
      <c r="L67" s="1018">
        <f>'Provozní náklady'!H151/1000</f>
        <v>10282.083075840601</v>
      </c>
      <c r="M67" s="1105">
        <f>'Provozní náklady'!I151/1000</f>
        <v>10489.907935693966</v>
      </c>
      <c r="P67" s="388" t="s">
        <v>145</v>
      </c>
      <c r="Q67" s="1141" t="s">
        <v>45</v>
      </c>
      <c r="R67" s="1138">
        <f t="shared" si="45"/>
        <v>805.34721791666664</v>
      </c>
      <c r="S67" s="890">
        <f t="shared" si="46"/>
        <v>8878.9164210416657</v>
      </c>
      <c r="T67" s="890">
        <f t="shared" si="47"/>
        <v>195.09192903958319</v>
      </c>
      <c r="U67" s="890">
        <f t="shared" si="48"/>
        <v>199.24296665495785</v>
      </c>
      <c r="V67" s="890">
        <f t="shared" si="49"/>
        <v>203.48454118772679</v>
      </c>
      <c r="W67" s="949">
        <f t="shared" si="50"/>
        <v>207.82485985336461</v>
      </c>
    </row>
    <row r="68" spans="1:23" ht="16.5" thickBot="1">
      <c r="A68" s="357" t="s">
        <v>146</v>
      </c>
      <c r="B68" s="358" t="s">
        <v>147</v>
      </c>
      <c r="C68" s="1236" t="s">
        <v>34</v>
      </c>
      <c r="D68" s="1133" t="s">
        <v>34</v>
      </c>
      <c r="E68" s="1237" t="s">
        <v>34</v>
      </c>
      <c r="F68" s="359">
        <f t="shared" si="44"/>
        <v>1404.6354166666667</v>
      </c>
      <c r="G68" s="358" t="s">
        <v>34</v>
      </c>
      <c r="H68" s="941">
        <f t="shared" ref="H68:L68" si="56">H62/H64</f>
        <v>46.873263888888886</v>
      </c>
      <c r="I68" s="1019">
        <f t="shared" si="56"/>
        <v>1237.4541666666667</v>
      </c>
      <c r="J68" s="365">
        <f t="shared" si="56"/>
        <v>1349.95</v>
      </c>
      <c r="K68" s="365">
        <f t="shared" si="56"/>
        <v>1462.4458333333332</v>
      </c>
      <c r="L68" s="365">
        <f t="shared" si="56"/>
        <v>1574.9416666666666</v>
      </c>
      <c r="M68" s="366">
        <f t="shared" ref="M68" si="57">M62/M64</f>
        <v>1687.4375</v>
      </c>
      <c r="P68" s="357" t="s">
        <v>146</v>
      </c>
      <c r="Q68" s="358" t="s">
        <v>149</v>
      </c>
      <c r="R68" s="1140">
        <f t="shared" si="45"/>
        <v>46.873263888888886</v>
      </c>
      <c r="S68" s="891">
        <f t="shared" si="46"/>
        <v>1190.5809027777777</v>
      </c>
      <c r="T68" s="891">
        <f t="shared" si="47"/>
        <v>112.49583333333339</v>
      </c>
      <c r="U68" s="891">
        <f t="shared" si="48"/>
        <v>112.49583333333317</v>
      </c>
      <c r="V68" s="891">
        <f t="shared" si="49"/>
        <v>112.49583333333339</v>
      </c>
      <c r="W68" s="950">
        <f t="shared" si="50"/>
        <v>112.49583333333339</v>
      </c>
    </row>
    <row r="69" spans="1:23">
      <c r="B69" s="331"/>
      <c r="R69" s="52"/>
      <c r="S69" s="3"/>
      <c r="T69" s="3"/>
      <c r="U69" s="3"/>
      <c r="V69" s="3"/>
      <c r="W69" s="3"/>
    </row>
    <row r="70" spans="1:23" ht="15" customHeight="1" thickBot="1">
      <c r="A70" s="1964" t="s">
        <v>395</v>
      </c>
      <c r="B70" s="1964"/>
      <c r="C70" s="1964"/>
      <c r="D70" s="1964"/>
      <c r="E70" s="1964"/>
      <c r="F70" s="1964"/>
      <c r="G70" s="1964"/>
      <c r="H70" s="1964"/>
      <c r="I70" s="1964"/>
      <c r="J70" s="1964"/>
      <c r="K70" s="1964"/>
      <c r="L70" s="1964"/>
      <c r="M70" s="1964"/>
      <c r="N70" s="1964"/>
      <c r="R70" s="52"/>
      <c r="S70" s="3"/>
      <c r="T70" s="3"/>
      <c r="U70" s="3"/>
      <c r="V70" s="3"/>
      <c r="W70" s="3"/>
    </row>
    <row r="71" spans="1:23" ht="20.25" thickTop="1" thickBot="1">
      <c r="A71" s="760" t="s">
        <v>490</v>
      </c>
      <c r="F71" s="1338" t="s">
        <v>391</v>
      </c>
      <c r="H71" s="1336" t="s">
        <v>403</v>
      </c>
      <c r="P71" s="1199" t="s">
        <v>413</v>
      </c>
    </row>
    <row r="72" spans="1:23" ht="17.25" thickTop="1" thickBot="1">
      <c r="A72" s="1942" t="s">
        <v>137</v>
      </c>
      <c r="B72" s="1942" t="s">
        <v>14</v>
      </c>
      <c r="C72" s="340">
        <v>2020</v>
      </c>
      <c r="D72" s="340">
        <v>2021</v>
      </c>
      <c r="E72" s="340">
        <v>2022</v>
      </c>
      <c r="F72" s="333">
        <v>2023</v>
      </c>
      <c r="G72" s="931" t="s">
        <v>672</v>
      </c>
      <c r="H72" s="294">
        <v>2025</v>
      </c>
      <c r="I72" s="295">
        <v>2026</v>
      </c>
      <c r="J72" s="296">
        <v>2027</v>
      </c>
      <c r="K72" s="296">
        <v>2028</v>
      </c>
      <c r="L72" s="295">
        <v>2029</v>
      </c>
      <c r="M72" s="295">
        <v>2030</v>
      </c>
      <c r="N72" s="1030" t="s">
        <v>150</v>
      </c>
      <c r="P72" s="1944" t="s">
        <v>693</v>
      </c>
      <c r="Q72" s="1945"/>
      <c r="R72" s="1946"/>
      <c r="S72" s="1947" t="s">
        <v>464</v>
      </c>
      <c r="T72" s="1948"/>
      <c r="U72" s="1948"/>
      <c r="V72" s="1949"/>
    </row>
    <row r="73" spans="1:23" ht="16.5" thickBot="1">
      <c r="A73" s="1943"/>
      <c r="B73" s="1943"/>
      <c r="C73" s="341" t="s">
        <v>326</v>
      </c>
      <c r="D73" s="341" t="s">
        <v>325</v>
      </c>
      <c r="E73" s="341" t="s">
        <v>324</v>
      </c>
      <c r="F73" s="883" t="s">
        <v>323</v>
      </c>
      <c r="G73" s="1014" t="s">
        <v>327</v>
      </c>
      <c r="H73" s="301" t="s">
        <v>135</v>
      </c>
      <c r="I73" s="302" t="s">
        <v>177</v>
      </c>
      <c r="J73" s="303" t="s">
        <v>178</v>
      </c>
      <c r="K73" s="303" t="s">
        <v>179</v>
      </c>
      <c r="L73" s="303" t="s">
        <v>180</v>
      </c>
      <c r="M73" s="303" t="s">
        <v>181</v>
      </c>
      <c r="N73" s="1084" t="s">
        <v>674</v>
      </c>
      <c r="P73" s="1088" t="s">
        <v>148</v>
      </c>
      <c r="Q73" s="1088" t="s">
        <v>14</v>
      </c>
      <c r="R73" s="1088" t="s">
        <v>151</v>
      </c>
      <c r="S73" s="1950"/>
      <c r="T73" s="1951"/>
      <c r="U73" s="1951"/>
      <c r="V73" s="1952"/>
    </row>
    <row r="74" spans="1:23" ht="16.5" thickBot="1">
      <c r="A74" s="304"/>
      <c r="B74" s="305"/>
      <c r="C74" s="308"/>
      <c r="D74" s="308"/>
      <c r="E74" s="334"/>
      <c r="F74" s="334"/>
      <c r="G74" s="1017"/>
      <c r="H74" s="334"/>
      <c r="I74" s="335"/>
      <c r="J74" s="334"/>
      <c r="K74" s="334"/>
      <c r="L74" s="335"/>
      <c r="M74" s="335"/>
      <c r="N74" s="1032"/>
      <c r="P74" s="387" t="s">
        <v>96</v>
      </c>
      <c r="Q74" s="1011" t="s">
        <v>45</v>
      </c>
      <c r="R74" s="957">
        <f t="shared" ref="R74:R82" si="58">AVERAGE(S60:W60)</f>
        <v>3937.354166666667</v>
      </c>
      <c r="S74" s="1939" t="s">
        <v>465</v>
      </c>
      <c r="T74" s="1940"/>
      <c r="U74" s="1941"/>
      <c r="V74" s="892">
        <f t="shared" ref="V74:V82" si="59">R74/F25</f>
        <v>2.9166666666666671E-2</v>
      </c>
    </row>
    <row r="75" spans="1:23" ht="16.5" thickBot="1">
      <c r="A75" s="336" t="s">
        <v>96</v>
      </c>
      <c r="B75" s="337" t="s">
        <v>46</v>
      </c>
      <c r="C75" s="1227" t="s">
        <v>34</v>
      </c>
      <c r="D75" s="1228" t="s">
        <v>34</v>
      </c>
      <c r="E75" s="1229" t="s">
        <v>34</v>
      </c>
      <c r="F75" s="338">
        <f t="shared" ref="F75:F83" si="60">F25</f>
        <v>134995</v>
      </c>
      <c r="G75" s="1226" t="s">
        <v>34</v>
      </c>
      <c r="H75" s="1024">
        <f t="shared" ref="H75:M75" si="61">H60/H25</f>
        <v>3.0612235642216335E-3</v>
      </c>
      <c r="I75" s="1021">
        <f t="shared" si="61"/>
        <v>7.237014925373135E-2</v>
      </c>
      <c r="J75" s="367">
        <f t="shared" si="61"/>
        <v>7.1478952088575409E-2</v>
      </c>
      <c r="K75" s="367">
        <f t="shared" si="61"/>
        <v>7.0741829116883537E-2</v>
      </c>
      <c r="L75" s="421">
        <f t="shared" si="61"/>
        <v>7.0122003819750089E-2</v>
      </c>
      <c r="M75" s="368">
        <f t="shared" si="61"/>
        <v>6.9593541480146209E-2</v>
      </c>
      <c r="N75" s="1213">
        <f>AVERAGE(I75:M75)</f>
        <v>7.0861295151817313E-2</v>
      </c>
      <c r="P75" s="387" t="s">
        <v>97</v>
      </c>
      <c r="Q75" s="1011" t="s">
        <v>45</v>
      </c>
      <c r="R75" s="958">
        <f t="shared" si="58"/>
        <v>0</v>
      </c>
      <c r="S75" s="1939" t="s">
        <v>465</v>
      </c>
      <c r="T75" s="1940"/>
      <c r="U75" s="1941"/>
      <c r="V75" s="893">
        <f t="shared" si="59"/>
        <v>0</v>
      </c>
    </row>
    <row r="76" spans="1:23" ht="15.75">
      <c r="A76" s="345" t="s">
        <v>97</v>
      </c>
      <c r="B76" s="346" t="s">
        <v>46</v>
      </c>
      <c r="C76" s="1238" t="s">
        <v>34</v>
      </c>
      <c r="D76" s="1239" t="s">
        <v>34</v>
      </c>
      <c r="E76" s="780" t="s">
        <v>34</v>
      </c>
      <c r="F76" s="349">
        <f t="shared" si="60"/>
        <v>268</v>
      </c>
      <c r="G76" s="1141" t="s">
        <v>34</v>
      </c>
      <c r="H76" s="1025">
        <v>0</v>
      </c>
      <c r="I76" s="1022">
        <v>0</v>
      </c>
      <c r="J76" s="369">
        <v>0</v>
      </c>
      <c r="K76" s="369">
        <v>0</v>
      </c>
      <c r="L76" s="370">
        <v>0</v>
      </c>
      <c r="M76" s="370">
        <v>0</v>
      </c>
      <c r="N76" s="1214">
        <f t="shared" ref="N76:N83" si="62">AVERAGE(I76:M76)</f>
        <v>0</v>
      </c>
      <c r="P76" s="387" t="s">
        <v>140</v>
      </c>
      <c r="Q76" s="1011" t="s">
        <v>45</v>
      </c>
      <c r="R76" s="958">
        <f t="shared" si="58"/>
        <v>3937.354166666667</v>
      </c>
      <c r="S76" s="1939" t="s">
        <v>465</v>
      </c>
      <c r="T76" s="1940"/>
      <c r="U76" s="1941"/>
      <c r="V76" s="893">
        <f t="shared" si="59"/>
        <v>2.9199111325348859E-2</v>
      </c>
    </row>
    <row r="77" spans="1:23" ht="15.75">
      <c r="A77" s="345" t="s">
        <v>140</v>
      </c>
      <c r="B77" s="346" t="s">
        <v>46</v>
      </c>
      <c r="C77" s="1238" t="s">
        <v>34</v>
      </c>
      <c r="D77" s="1239" t="s">
        <v>34</v>
      </c>
      <c r="E77" s="780" t="s">
        <v>34</v>
      </c>
      <c r="F77" s="349">
        <f t="shared" si="60"/>
        <v>134845</v>
      </c>
      <c r="G77" s="1141" t="s">
        <v>34</v>
      </c>
      <c r="H77" s="1025">
        <f t="shared" ref="H77:M83" si="63">H62/H27</f>
        <v>3.065482029705848E-3</v>
      </c>
      <c r="I77" s="1022">
        <f t="shared" si="63"/>
        <v>7.2485843991018262E-2</v>
      </c>
      <c r="J77" s="369">
        <f t="shared" si="63"/>
        <v>7.1605254782700939E-2</v>
      </c>
      <c r="K77" s="369">
        <f t="shared" si="63"/>
        <v>7.0876682121451984E-2</v>
      </c>
      <c r="L77" s="370">
        <f t="shared" si="63"/>
        <v>7.0263889715067515E-2</v>
      </c>
      <c r="M77" s="370">
        <f t="shared" si="63"/>
        <v>6.9741310427487019E-2</v>
      </c>
      <c r="N77" s="1214">
        <f t="shared" si="62"/>
        <v>7.0994596207545141E-2</v>
      </c>
      <c r="P77" s="387" t="s">
        <v>141</v>
      </c>
      <c r="Q77" s="1011" t="s">
        <v>45</v>
      </c>
      <c r="R77" s="958">
        <f t="shared" si="58"/>
        <v>3005.0160337010284</v>
      </c>
      <c r="S77" s="1939" t="s">
        <v>465</v>
      </c>
      <c r="T77" s="1940"/>
      <c r="U77" s="1941"/>
      <c r="V77" s="892">
        <f t="shared" si="59"/>
        <v>2.4703370080717178E-2</v>
      </c>
    </row>
    <row r="78" spans="1:23" ht="15.75">
      <c r="A78" s="345" t="s">
        <v>141</v>
      </c>
      <c r="B78" s="346" t="s">
        <v>46</v>
      </c>
      <c r="C78" s="1238" t="s">
        <v>34</v>
      </c>
      <c r="D78" s="1239" t="s">
        <v>34</v>
      </c>
      <c r="E78" s="780" t="s">
        <v>34</v>
      </c>
      <c r="F78" s="349">
        <f t="shared" si="60"/>
        <v>121643.97100000001</v>
      </c>
      <c r="G78" s="1141" t="s">
        <v>34</v>
      </c>
      <c r="H78" s="1025">
        <f t="shared" si="63"/>
        <v>2.4224928670922791E-3</v>
      </c>
      <c r="I78" s="1022">
        <f t="shared" si="63"/>
        <v>5.5992972428009706E-2</v>
      </c>
      <c r="J78" s="369">
        <f t="shared" si="63"/>
        <v>5.4321423326119188E-2</v>
      </c>
      <c r="K78" s="369">
        <f t="shared" si="63"/>
        <v>5.2983066137905196E-2</v>
      </c>
      <c r="L78" s="370">
        <f t="shared" si="63"/>
        <v>5.1887306665582111E-2</v>
      </c>
      <c r="M78" s="370">
        <f t="shared" si="63"/>
        <v>5.0973664580331701E-2</v>
      </c>
      <c r="N78" s="1214">
        <f t="shared" si="62"/>
        <v>5.3231686627589578E-2</v>
      </c>
      <c r="P78" s="387" t="s">
        <v>408</v>
      </c>
      <c r="Q78" s="1011" t="s">
        <v>45</v>
      </c>
      <c r="R78" s="958">
        <f t="shared" si="58"/>
        <v>0</v>
      </c>
      <c r="S78" s="1939" t="s">
        <v>465</v>
      </c>
      <c r="T78" s="1940"/>
      <c r="U78" s="1941"/>
      <c r="V78" s="893">
        <f t="shared" si="59"/>
        <v>0</v>
      </c>
    </row>
    <row r="79" spans="1:23" ht="15.75">
      <c r="A79" s="352" t="s">
        <v>408</v>
      </c>
      <c r="B79" s="353" t="s">
        <v>46</v>
      </c>
      <c r="C79" s="1238" t="s">
        <v>34</v>
      </c>
      <c r="D79" s="1239" t="s">
        <v>34</v>
      </c>
      <c r="E79" s="780" t="s">
        <v>34</v>
      </c>
      <c r="F79" s="349">
        <f t="shared" si="60"/>
        <v>96</v>
      </c>
      <c r="G79" s="1141" t="s">
        <v>34</v>
      </c>
      <c r="H79" s="1025">
        <f t="shared" si="63"/>
        <v>0.11214953271028037</v>
      </c>
      <c r="I79" s="1022">
        <f t="shared" si="63"/>
        <v>0.11214953271028037</v>
      </c>
      <c r="J79" s="369">
        <f t="shared" si="63"/>
        <v>0.11214953271028037</v>
      </c>
      <c r="K79" s="369">
        <f t="shared" si="63"/>
        <v>0.11214953271028037</v>
      </c>
      <c r="L79" s="370">
        <f t="shared" si="63"/>
        <v>0.11214953271028037</v>
      </c>
      <c r="M79" s="370">
        <f t="shared" si="63"/>
        <v>0.11214953271028037</v>
      </c>
      <c r="N79" s="1214">
        <f t="shared" si="62"/>
        <v>0.11214953271028036</v>
      </c>
      <c r="P79" s="387" t="s">
        <v>143</v>
      </c>
      <c r="Q79" s="1011" t="s">
        <v>45</v>
      </c>
      <c r="R79" s="958">
        <f t="shared" si="58"/>
        <v>1676.8034237970046</v>
      </c>
      <c r="S79" s="1939" t="s">
        <v>465</v>
      </c>
      <c r="T79" s="1940"/>
      <c r="U79" s="1941"/>
      <c r="V79" s="893">
        <f t="shared" si="59"/>
        <v>5.1713289862667836E-2</v>
      </c>
    </row>
    <row r="80" spans="1:23" ht="15.75">
      <c r="A80" s="345" t="s">
        <v>143</v>
      </c>
      <c r="B80" s="353" t="s">
        <v>46</v>
      </c>
      <c r="C80" s="1238" t="s">
        <v>34</v>
      </c>
      <c r="D80" s="1239" t="s">
        <v>34</v>
      </c>
      <c r="E80" s="780" t="s">
        <v>34</v>
      </c>
      <c r="F80" s="349">
        <f t="shared" si="60"/>
        <v>32425</v>
      </c>
      <c r="G80" s="1141" t="s">
        <v>34</v>
      </c>
      <c r="H80" s="1025">
        <f t="shared" si="63"/>
        <v>3.0612235642216335E-3</v>
      </c>
      <c r="I80" s="1022">
        <f t="shared" si="63"/>
        <v>7.237014925373135E-2</v>
      </c>
      <c r="J80" s="369">
        <f t="shared" si="63"/>
        <v>7.1478952088575409E-2</v>
      </c>
      <c r="K80" s="369">
        <f t="shared" si="63"/>
        <v>7.0741829116883537E-2</v>
      </c>
      <c r="L80" s="370">
        <f t="shared" si="63"/>
        <v>7.0122003819750089E-2</v>
      </c>
      <c r="M80" s="370">
        <f t="shared" si="63"/>
        <v>6.9593541480146209E-2</v>
      </c>
      <c r="N80" s="1214">
        <f t="shared" si="62"/>
        <v>7.0861295151817313E-2</v>
      </c>
      <c r="P80" s="387" t="s">
        <v>144</v>
      </c>
      <c r="Q80" s="1011" t="s">
        <v>45</v>
      </c>
      <c r="R80" s="958">
        <f t="shared" si="58"/>
        <v>1646.458168438116</v>
      </c>
      <c r="S80" s="1939" t="s">
        <v>465</v>
      </c>
      <c r="T80" s="1940"/>
      <c r="U80" s="1941"/>
      <c r="V80" s="893">
        <f t="shared" si="59"/>
        <v>2.3530915655825581E-2</v>
      </c>
    </row>
    <row r="81" spans="1:22" ht="15.75">
      <c r="A81" s="354" t="s">
        <v>144</v>
      </c>
      <c r="B81" s="353" t="s">
        <v>46</v>
      </c>
      <c r="C81" s="1238" t="s">
        <v>34</v>
      </c>
      <c r="D81" s="1239" t="s">
        <v>34</v>
      </c>
      <c r="E81" s="780" t="s">
        <v>34</v>
      </c>
      <c r="F81" s="349">
        <f t="shared" si="60"/>
        <v>69970</v>
      </c>
      <c r="G81" s="1141" t="s">
        <v>34</v>
      </c>
      <c r="H81" s="1025">
        <f t="shared" si="63"/>
        <v>2.5026686717478019E-3</v>
      </c>
      <c r="I81" s="1022">
        <f t="shared" si="63"/>
        <v>5.7693016613485693E-2</v>
      </c>
      <c r="J81" s="369">
        <f t="shared" si="63"/>
        <v>5.5855597694319303E-2</v>
      </c>
      <c r="K81" s="369">
        <f t="shared" si="63"/>
        <v>5.4389873299327464E-2</v>
      </c>
      <c r="L81" s="370">
        <f t="shared" si="63"/>
        <v>5.3193417345935315E-2</v>
      </c>
      <c r="M81" s="370">
        <f t="shared" si="63"/>
        <v>5.2198271165761215E-2</v>
      </c>
      <c r="N81" s="1214">
        <f t="shared" si="62"/>
        <v>5.4666035223765799E-2</v>
      </c>
      <c r="P81" s="388" t="s">
        <v>145</v>
      </c>
      <c r="Q81" s="1011" t="s">
        <v>45</v>
      </c>
      <c r="R81" s="958">
        <f t="shared" si="58"/>
        <v>1936.9121435554596</v>
      </c>
      <c r="S81" s="1939" t="s">
        <v>465</v>
      </c>
      <c r="T81" s="1940"/>
      <c r="U81" s="1941"/>
      <c r="V81" s="893">
        <f t="shared" si="59"/>
        <v>2.9626359686063503E-2</v>
      </c>
    </row>
    <row r="82" spans="1:22" ht="16.5" thickBot="1">
      <c r="A82" s="356" t="s">
        <v>145</v>
      </c>
      <c r="B82" s="353" t="s">
        <v>46</v>
      </c>
      <c r="C82" s="1238" t="s">
        <v>34</v>
      </c>
      <c r="D82" s="1239" t="s">
        <v>34</v>
      </c>
      <c r="E82" s="780" t="s">
        <v>34</v>
      </c>
      <c r="F82" s="349">
        <f t="shared" si="60"/>
        <v>65378</v>
      </c>
      <c r="G82" s="1141" t="s">
        <v>34</v>
      </c>
      <c r="H82" s="1025">
        <f t="shared" si="63"/>
        <v>8.9239103995375595E-3</v>
      </c>
      <c r="I82" s="1022">
        <f t="shared" si="63"/>
        <v>9.8726334858687079E-2</v>
      </c>
      <c r="J82" s="369">
        <f t="shared" si="63"/>
        <v>9.3256013592836529E-2</v>
      </c>
      <c r="K82" s="369">
        <f t="shared" si="63"/>
        <v>8.8576588401294329E-2</v>
      </c>
      <c r="L82" s="370">
        <f t="shared" si="63"/>
        <v>8.4535748383134102E-2</v>
      </c>
      <c r="M82" s="370">
        <f t="shared" si="63"/>
        <v>8.1018165032082895E-2</v>
      </c>
      <c r="N82" s="1214">
        <f t="shared" si="62"/>
        <v>8.9222570053606981E-2</v>
      </c>
      <c r="P82" s="357" t="s">
        <v>146</v>
      </c>
      <c r="Q82" s="1012" t="s">
        <v>147</v>
      </c>
      <c r="R82" s="959">
        <f t="shared" si="58"/>
        <v>328.11284722222223</v>
      </c>
      <c r="S82" s="1939" t="s">
        <v>465</v>
      </c>
      <c r="T82" s="1940"/>
      <c r="U82" s="1941"/>
      <c r="V82" s="951">
        <f t="shared" si="59"/>
        <v>0.23359289060279084</v>
      </c>
    </row>
    <row r="83" spans="1:22" ht="16.5" thickBot="1">
      <c r="A83" s="357" t="s">
        <v>146</v>
      </c>
      <c r="B83" s="377" t="s">
        <v>46</v>
      </c>
      <c r="C83" s="1240" t="s">
        <v>34</v>
      </c>
      <c r="D83" s="1241" t="s">
        <v>34</v>
      </c>
      <c r="E83" s="1242" t="s">
        <v>34</v>
      </c>
      <c r="F83" s="359">
        <f t="shared" si="60"/>
        <v>1404.6354166666667</v>
      </c>
      <c r="G83" s="358" t="s">
        <v>34</v>
      </c>
      <c r="H83" s="1026">
        <f t="shared" si="63"/>
        <v>2.7333881431543812E-2</v>
      </c>
      <c r="I83" s="1023">
        <f t="shared" si="63"/>
        <v>0.64633210891991277</v>
      </c>
      <c r="J83" s="371">
        <f t="shared" si="63"/>
        <v>0.6384801884790835</v>
      </c>
      <c r="K83" s="371">
        <f t="shared" si="63"/>
        <v>0.63198374891628017</v>
      </c>
      <c r="L83" s="372">
        <f t="shared" si="63"/>
        <v>0.62651968329268537</v>
      </c>
      <c r="M83" s="372">
        <f t="shared" si="63"/>
        <v>0.62186001797842583</v>
      </c>
      <c r="N83" s="1215">
        <f t="shared" si="62"/>
        <v>0.63303514951727746</v>
      </c>
    </row>
    <row r="85" spans="1:22" ht="16.5" thickBot="1">
      <c r="A85" s="45" t="s">
        <v>491</v>
      </c>
      <c r="F85" s="1338" t="s">
        <v>391</v>
      </c>
      <c r="H85" s="1336" t="s">
        <v>403</v>
      </c>
    </row>
    <row r="86" spans="1:22" ht="15.75">
      <c r="A86" s="1942" t="s">
        <v>137</v>
      </c>
      <c r="B86" s="1942" t="s">
        <v>14</v>
      </c>
      <c r="C86" s="340">
        <v>2020</v>
      </c>
      <c r="D86" s="340">
        <v>2021</v>
      </c>
      <c r="E86" s="340">
        <v>2022</v>
      </c>
      <c r="F86" s="333">
        <v>2023</v>
      </c>
      <c r="G86" s="931" t="s">
        <v>672</v>
      </c>
      <c r="H86" s="294">
        <v>2025</v>
      </c>
      <c r="I86" s="295">
        <v>2026</v>
      </c>
      <c r="J86" s="296">
        <v>2027</v>
      </c>
      <c r="K86" s="296">
        <v>2028</v>
      </c>
      <c r="L86" s="295">
        <v>2029</v>
      </c>
      <c r="M86" s="295">
        <v>2030</v>
      </c>
      <c r="N86" s="1030" t="s">
        <v>150</v>
      </c>
    </row>
    <row r="87" spans="1:22" ht="16.5" thickBot="1">
      <c r="A87" s="1943"/>
      <c r="B87" s="1943"/>
      <c r="C87" s="341" t="s">
        <v>326</v>
      </c>
      <c r="D87" s="341" t="s">
        <v>325</v>
      </c>
      <c r="E87" s="341" t="s">
        <v>324</v>
      </c>
      <c r="F87" s="883" t="s">
        <v>323</v>
      </c>
      <c r="G87" s="1014" t="s">
        <v>327</v>
      </c>
      <c r="H87" s="301" t="s">
        <v>135</v>
      </c>
      <c r="I87" s="302" t="s">
        <v>177</v>
      </c>
      <c r="J87" s="303" t="s">
        <v>178</v>
      </c>
      <c r="K87" s="303" t="s">
        <v>179</v>
      </c>
      <c r="L87" s="303" t="s">
        <v>180</v>
      </c>
      <c r="M87" s="1015" t="s">
        <v>181</v>
      </c>
      <c r="N87" s="1031" t="s">
        <v>675</v>
      </c>
    </row>
    <row r="88" spans="1:22" ht="16.5" thickBot="1">
      <c r="A88" s="304"/>
      <c r="B88" s="305"/>
      <c r="C88" s="308"/>
      <c r="D88" s="308"/>
      <c r="E88" s="334"/>
      <c r="F88" s="334"/>
      <c r="G88" s="1017"/>
      <c r="H88" s="334"/>
      <c r="I88" s="335"/>
      <c r="J88" s="334"/>
      <c r="K88" s="334"/>
      <c r="L88" s="335"/>
      <c r="M88" s="1027"/>
      <c r="N88" s="334"/>
    </row>
    <row r="89" spans="1:22" ht="16.5" thickBot="1">
      <c r="A89" s="336" t="s">
        <v>96</v>
      </c>
      <c r="B89" s="337" t="s">
        <v>46</v>
      </c>
      <c r="C89" s="1227" t="s">
        <v>34</v>
      </c>
      <c r="D89" s="1228" t="s">
        <v>34</v>
      </c>
      <c r="E89" s="1229" t="s">
        <v>34</v>
      </c>
      <c r="F89" s="338">
        <f t="shared" ref="F89:F97" si="64">F75</f>
        <v>134995</v>
      </c>
      <c r="G89" s="1226" t="s">
        <v>34</v>
      </c>
      <c r="H89" s="1024">
        <f t="shared" ref="H89:M89" si="65">H60/$F$60</f>
        <v>4.1666666666666666E-3</v>
      </c>
      <c r="I89" s="1021">
        <f t="shared" si="65"/>
        <v>0.11</v>
      </c>
      <c r="J89" s="367">
        <f t="shared" si="65"/>
        <v>0.12</v>
      </c>
      <c r="K89" s="367">
        <f t="shared" si="65"/>
        <v>0.12999999999999998</v>
      </c>
      <c r="L89" s="368">
        <f t="shared" si="65"/>
        <v>0.13999999999999999</v>
      </c>
      <c r="M89" s="421">
        <f t="shared" si="65"/>
        <v>0.15</v>
      </c>
      <c r="N89" s="1213">
        <f>AVERAGE(I89:M89)</f>
        <v>0.13</v>
      </c>
      <c r="V89" s="289"/>
    </row>
    <row r="90" spans="1:22" ht="15.75">
      <c r="A90" s="345" t="s">
        <v>97</v>
      </c>
      <c r="B90" s="346" t="s">
        <v>46</v>
      </c>
      <c r="C90" s="1238" t="s">
        <v>34</v>
      </c>
      <c r="D90" s="1239" t="s">
        <v>34</v>
      </c>
      <c r="E90" s="780" t="s">
        <v>34</v>
      </c>
      <c r="F90" s="349">
        <f t="shared" si="64"/>
        <v>268</v>
      </c>
      <c r="G90" s="1141" t="s">
        <v>34</v>
      </c>
      <c r="H90" s="1025">
        <v>0</v>
      </c>
      <c r="I90" s="1022">
        <v>0</v>
      </c>
      <c r="J90" s="369">
        <v>0</v>
      </c>
      <c r="K90" s="369">
        <v>0</v>
      </c>
      <c r="L90" s="370">
        <v>0</v>
      </c>
      <c r="M90" s="1028">
        <v>0</v>
      </c>
      <c r="N90" s="1216">
        <f t="shared" ref="N90:N97" si="66">AVERAGE(I90:M90)</f>
        <v>0</v>
      </c>
    </row>
    <row r="91" spans="1:22" ht="15.75">
      <c r="A91" s="345" t="s">
        <v>140</v>
      </c>
      <c r="B91" s="346" t="s">
        <v>46</v>
      </c>
      <c r="C91" s="1238" t="s">
        <v>34</v>
      </c>
      <c r="D91" s="1239" t="s">
        <v>34</v>
      </c>
      <c r="E91" s="780" t="s">
        <v>34</v>
      </c>
      <c r="F91" s="349">
        <f t="shared" si="64"/>
        <v>134845</v>
      </c>
      <c r="G91" s="1141" t="s">
        <v>34</v>
      </c>
      <c r="H91" s="1025">
        <f t="shared" ref="H91:L91" si="67">H62/$F$62</f>
        <v>4.1713016179069796E-3</v>
      </c>
      <c r="I91" s="1022">
        <f t="shared" si="67"/>
        <v>0.11012236271274427</v>
      </c>
      <c r="J91" s="369">
        <f t="shared" si="67"/>
        <v>0.12013348659572101</v>
      </c>
      <c r="K91" s="369">
        <f t="shared" si="67"/>
        <v>0.13014461047869774</v>
      </c>
      <c r="L91" s="370">
        <f t="shared" si="67"/>
        <v>0.1401557343616745</v>
      </c>
      <c r="M91" s="1028">
        <f t="shared" ref="M91" si="68">M62/$F$62</f>
        <v>0.15016685824465126</v>
      </c>
      <c r="N91" s="1216">
        <f t="shared" si="66"/>
        <v>0.13014461047869774</v>
      </c>
    </row>
    <row r="92" spans="1:22" ht="15.75">
      <c r="A92" s="345" t="s">
        <v>141</v>
      </c>
      <c r="B92" s="346" t="s">
        <v>46</v>
      </c>
      <c r="C92" s="1238" t="s">
        <v>34</v>
      </c>
      <c r="D92" s="1239" t="s">
        <v>34</v>
      </c>
      <c r="E92" s="780" t="s">
        <v>34</v>
      </c>
      <c r="F92" s="349">
        <f t="shared" si="64"/>
        <v>121643.97100000001</v>
      </c>
      <c r="G92" s="1141" t="s">
        <v>34</v>
      </c>
      <c r="H92" s="1025">
        <f t="shared" ref="H92:L92" si="69">H63/$F$63</f>
        <v>3.5290528686738828E-3</v>
      </c>
      <c r="I92" s="1022">
        <f t="shared" si="69"/>
        <v>9.3166995732990518E-2</v>
      </c>
      <c r="J92" s="369">
        <f t="shared" si="69"/>
        <v>0.10163672261780782</v>
      </c>
      <c r="K92" s="369">
        <f t="shared" si="69"/>
        <v>0.11010644950262513</v>
      </c>
      <c r="L92" s="370">
        <f t="shared" si="69"/>
        <v>0.11857617638744244</v>
      </c>
      <c r="M92" s="1028">
        <f t="shared" ref="M92" si="70">M63/$F$63</f>
        <v>0.12704590327225979</v>
      </c>
      <c r="N92" s="1216">
        <f t="shared" si="66"/>
        <v>0.11010644950262516</v>
      </c>
    </row>
    <row r="93" spans="1:22" ht="15.75">
      <c r="A93" s="352" t="s">
        <v>408</v>
      </c>
      <c r="B93" s="346" t="s">
        <v>46</v>
      </c>
      <c r="C93" s="1238" t="s">
        <v>34</v>
      </c>
      <c r="D93" s="1239" t="s">
        <v>34</v>
      </c>
      <c r="E93" s="780" t="s">
        <v>34</v>
      </c>
      <c r="F93" s="361">
        <f t="shared" si="64"/>
        <v>96</v>
      </c>
      <c r="G93" s="1141" t="s">
        <v>34</v>
      </c>
      <c r="H93" s="1025">
        <f t="shared" ref="H93:L93" si="71">H64/$F$64</f>
        <v>0.125</v>
      </c>
      <c r="I93" s="1022">
        <f t="shared" si="71"/>
        <v>0.125</v>
      </c>
      <c r="J93" s="369">
        <f t="shared" si="71"/>
        <v>0.125</v>
      </c>
      <c r="K93" s="369">
        <f t="shared" si="71"/>
        <v>0.125</v>
      </c>
      <c r="L93" s="370">
        <f t="shared" si="71"/>
        <v>0.125</v>
      </c>
      <c r="M93" s="1028">
        <f t="shared" ref="M93" si="72">M64/$F$64</f>
        <v>0.125</v>
      </c>
      <c r="N93" s="1216">
        <f t="shared" si="66"/>
        <v>0.125</v>
      </c>
    </row>
    <row r="94" spans="1:22" ht="15.75">
      <c r="A94" s="345" t="s">
        <v>143</v>
      </c>
      <c r="B94" s="346" t="s">
        <v>46</v>
      </c>
      <c r="C94" s="1238" t="s">
        <v>34</v>
      </c>
      <c r="D94" s="1239" t="s">
        <v>34</v>
      </c>
      <c r="E94" s="780" t="s">
        <v>34</v>
      </c>
      <c r="F94" s="349">
        <f t="shared" si="64"/>
        <v>32425</v>
      </c>
      <c r="G94" s="1141" t="s">
        <v>34</v>
      </c>
      <c r="H94" s="1025">
        <f>H65/$F$65</f>
        <v>6.1057838760428008E-3</v>
      </c>
      <c r="I94" s="1022">
        <f t="shared" ref="I94:L94" si="73">I65/$F$65</f>
        <v>0.17052348938422768</v>
      </c>
      <c r="J94" s="369">
        <f t="shared" si="73"/>
        <v>0.19427835889104689</v>
      </c>
      <c r="K94" s="369">
        <f t="shared" si="73"/>
        <v>0.21786301661627983</v>
      </c>
      <c r="L94" s="369">
        <f t="shared" si="73"/>
        <v>0.24131809101731266</v>
      </c>
      <c r="M94" s="1028">
        <f t="shared" ref="M94" si="74">M65/$F$65</f>
        <v>0.26467223318938193</v>
      </c>
      <c r="N94" s="1216">
        <f t="shared" si="66"/>
        <v>0.21773103781964984</v>
      </c>
    </row>
    <row r="95" spans="1:22" ht="15.75">
      <c r="A95" s="354" t="s">
        <v>144</v>
      </c>
      <c r="B95" s="346" t="s">
        <v>46</v>
      </c>
      <c r="C95" s="1238" t="s">
        <v>34</v>
      </c>
      <c r="D95" s="1239" t="s">
        <v>34</v>
      </c>
      <c r="E95" s="780" t="s">
        <v>34</v>
      </c>
      <c r="F95" s="349">
        <f t="shared" si="64"/>
        <v>69970</v>
      </c>
      <c r="G95" s="1141" t="s">
        <v>34</v>
      </c>
      <c r="H95" s="1025">
        <f>H66/$F$66</f>
        <v>3.361559379403654E-3</v>
      </c>
      <c r="I95" s="1022">
        <f t="shared" ref="I95:L95" si="75">I66/$F$66</f>
        <v>8.8745167616256476E-2</v>
      </c>
      <c r="J95" s="369">
        <f t="shared" si="75"/>
        <v>9.6812910126825247E-2</v>
      </c>
      <c r="K95" s="369">
        <f t="shared" si="75"/>
        <v>0.104880652637394</v>
      </c>
      <c r="L95" s="369">
        <f t="shared" si="75"/>
        <v>0.11294839514796277</v>
      </c>
      <c r="M95" s="1028">
        <f t="shared" ref="M95" si="76">M66/$F$66</f>
        <v>0.12101613765853156</v>
      </c>
      <c r="N95" s="1216">
        <f t="shared" si="66"/>
        <v>0.10488065263739402</v>
      </c>
    </row>
    <row r="96" spans="1:22" ht="15.75">
      <c r="A96" s="356" t="s">
        <v>145</v>
      </c>
      <c r="B96" s="346" t="s">
        <v>46</v>
      </c>
      <c r="C96" s="1238" t="s">
        <v>34</v>
      </c>
      <c r="D96" s="1239" t="s">
        <v>34</v>
      </c>
      <c r="E96" s="780" t="s">
        <v>34</v>
      </c>
      <c r="F96" s="349">
        <f t="shared" si="64"/>
        <v>65378</v>
      </c>
      <c r="G96" s="1141" t="s">
        <v>34</v>
      </c>
      <c r="H96" s="1025">
        <f>H67/$F$67</f>
        <v>1.2318321421834052E-2</v>
      </c>
      <c r="I96" s="1022">
        <f>I67/$F$67</f>
        <v>0.1481272544121621</v>
      </c>
      <c r="J96" s="369">
        <f t="shared" ref="J96:L96" si="77">J67/$F$67</f>
        <v>0.15111131524362809</v>
      </c>
      <c r="K96" s="369">
        <f t="shared" si="77"/>
        <v>0.15415886895672665</v>
      </c>
      <c r="L96" s="369">
        <f t="shared" si="77"/>
        <v>0.15727130037383524</v>
      </c>
      <c r="M96" s="1028">
        <f t="shared" ref="M96" si="78">M67/$F$67</f>
        <v>0.16045011985215157</v>
      </c>
      <c r="N96" s="1216">
        <f t="shared" si="66"/>
        <v>0.15422377176770072</v>
      </c>
    </row>
    <row r="97" spans="1:14" ht="16.5" thickBot="1">
      <c r="A97" s="357" t="s">
        <v>146</v>
      </c>
      <c r="B97" s="378" t="s">
        <v>46</v>
      </c>
      <c r="C97" s="1240" t="s">
        <v>34</v>
      </c>
      <c r="D97" s="1241" t="s">
        <v>34</v>
      </c>
      <c r="E97" s="1242" t="s">
        <v>34</v>
      </c>
      <c r="F97" s="359">
        <f t="shared" si="64"/>
        <v>1404.6354166666667</v>
      </c>
      <c r="G97" s="358" t="s">
        <v>34</v>
      </c>
      <c r="H97" s="1026">
        <f>H68/$F$68</f>
        <v>3.337041294325583E-2</v>
      </c>
      <c r="I97" s="1023">
        <f t="shared" ref="I97:L97" si="79">I68/$F$68</f>
        <v>0.88097890170195403</v>
      </c>
      <c r="J97" s="371">
        <f t="shared" si="79"/>
        <v>0.96106789276576809</v>
      </c>
      <c r="K97" s="371">
        <f t="shared" si="79"/>
        <v>1.0411568838295819</v>
      </c>
      <c r="L97" s="371">
        <f t="shared" si="79"/>
        <v>1.121245874893396</v>
      </c>
      <c r="M97" s="1029">
        <f t="shared" ref="M97" si="80">M68/$F$68</f>
        <v>1.2013348659572101</v>
      </c>
      <c r="N97" s="1217">
        <f t="shared" si="66"/>
        <v>1.0411568838295819</v>
      </c>
    </row>
    <row r="99" spans="1:14">
      <c r="A99" s="330" t="s">
        <v>671</v>
      </c>
    </row>
  </sheetData>
  <protectedRanges>
    <protectedRange algorithmName="SHA-512" hashValue="WRp0qXtI+LXcuKdxLbRCYpiremQ2fHtwfvyy1AS+KVVHxZtVD1pvvgV9CxQtPnTD0jJurHfOj5211fDjGt+d/g==" saltValue="kE30C3kNA7q+5SLtyNZGxw==" spinCount="100000" sqref="C25:G33 F70:M70 F60:F69 H60:M69" name="Oblast1"/>
  </protectedRanges>
  <mergeCells count="80">
    <mergeCell ref="V21:X21"/>
    <mergeCell ref="V8:X9"/>
    <mergeCell ref="V11:X11"/>
    <mergeCell ref="AL14:AN14"/>
    <mergeCell ref="AL12:AN12"/>
    <mergeCell ref="AL13:AN13"/>
    <mergeCell ref="AL9:AN9"/>
    <mergeCell ref="V20:X20"/>
    <mergeCell ref="V10:X10"/>
    <mergeCell ref="V12:X12"/>
    <mergeCell ref="V13:X14"/>
    <mergeCell ref="W57:W58"/>
    <mergeCell ref="S40:V41"/>
    <mergeCell ref="P56:W56"/>
    <mergeCell ref="S47:U47"/>
    <mergeCell ref="S48:U48"/>
    <mergeCell ref="S49:U49"/>
    <mergeCell ref="S50:U50"/>
    <mergeCell ref="S42:U42"/>
    <mergeCell ref="S43:U43"/>
    <mergeCell ref="S44:U44"/>
    <mergeCell ref="T57:T58"/>
    <mergeCell ref="AL2:AN2"/>
    <mergeCell ref="AL3:AN4"/>
    <mergeCell ref="AL10:AN11"/>
    <mergeCell ref="AL5:AN5"/>
    <mergeCell ref="AL7:AN7"/>
    <mergeCell ref="AL6:AN6"/>
    <mergeCell ref="V3:X4"/>
    <mergeCell ref="V7:X7"/>
    <mergeCell ref="V5:X5"/>
    <mergeCell ref="V2:X2"/>
    <mergeCell ref="V6:X6"/>
    <mergeCell ref="AE2:AK2"/>
    <mergeCell ref="AE9:AK9"/>
    <mergeCell ref="O7:U7"/>
    <mergeCell ref="O2:U2"/>
    <mergeCell ref="S80:U80"/>
    <mergeCell ref="S46:U46"/>
    <mergeCell ref="P24:U24"/>
    <mergeCell ref="Q57:Q59"/>
    <mergeCell ref="P57:P59"/>
    <mergeCell ref="S45:U45"/>
    <mergeCell ref="S74:U74"/>
    <mergeCell ref="U57:U58"/>
    <mergeCell ref="V16:X16"/>
    <mergeCell ref="V17:X17"/>
    <mergeCell ref="V18:X19"/>
    <mergeCell ref="V15:X15"/>
    <mergeCell ref="A3:L3"/>
    <mergeCell ref="A72:A73"/>
    <mergeCell ref="B72:B73"/>
    <mergeCell ref="A57:A59"/>
    <mergeCell ref="B57:B59"/>
    <mergeCell ref="A6:A7"/>
    <mergeCell ref="B6:B7"/>
    <mergeCell ref="A41:A42"/>
    <mergeCell ref="A48:A49"/>
    <mergeCell ref="A22:A23"/>
    <mergeCell ref="B22:B23"/>
    <mergeCell ref="A70:N70"/>
    <mergeCell ref="A4:B4"/>
    <mergeCell ref="A86:A87"/>
    <mergeCell ref="B86:B87"/>
    <mergeCell ref="P72:R72"/>
    <mergeCell ref="S72:V73"/>
    <mergeCell ref="V57:V58"/>
    <mergeCell ref="R57:R58"/>
    <mergeCell ref="S57:S58"/>
    <mergeCell ref="O12:U12"/>
    <mergeCell ref="A20:B20"/>
    <mergeCell ref="A55:B55"/>
    <mergeCell ref="S81:U81"/>
    <mergeCell ref="S82:U82"/>
    <mergeCell ref="S75:U75"/>
    <mergeCell ref="S76:U76"/>
    <mergeCell ref="S77:U77"/>
    <mergeCell ref="S78:U78"/>
    <mergeCell ref="S79:U79"/>
    <mergeCell ref="O17:U17"/>
  </mergeCells>
  <conditionalFormatting sqref="R27:U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verticalDpi="0" r:id="rId1"/>
  <ignoredErrors>
    <ignoredError sqref="F44 H13:M13" formula="1"/>
    <ignoredError sqref="N76 N9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8</vt:i4>
      </vt:variant>
    </vt:vector>
  </HeadingPairs>
  <TitlesOfParts>
    <vt:vector size="20" baseType="lpstr">
      <vt:lpstr>Položkový rozpočet projektu</vt:lpstr>
      <vt:lpstr>Investiční náklady_vznik</vt:lpstr>
      <vt:lpstr>Investiční náklady_úhrada</vt:lpstr>
      <vt:lpstr>Zdroje financování</vt:lpstr>
      <vt:lpstr>Finanční plán (ŽoP)</vt:lpstr>
      <vt:lpstr>Provozní náklady</vt:lpstr>
      <vt:lpstr>Provozní výnosy</vt:lpstr>
      <vt:lpstr>Plán cash flow</vt:lpstr>
      <vt:lpstr>Zakl. ekon. ukazatele</vt:lpstr>
      <vt:lpstr>Tržby</vt:lpstr>
      <vt:lpstr>Finanční analýza</vt:lpstr>
      <vt:lpstr>Odběratelé_Dodavaté_Odbyt</vt:lpstr>
      <vt:lpstr>'Finanční analýza'!Oblast_tisku</vt:lpstr>
      <vt:lpstr>'Finanční plán (ŽoP)'!Oblast_tisku</vt:lpstr>
      <vt:lpstr>'Investiční náklady_úhrada'!Oblast_tisku</vt:lpstr>
      <vt:lpstr>'Investiční náklady_vznik'!Oblast_tisku</vt:lpstr>
      <vt:lpstr>'Plán cash flow'!Oblast_tisku</vt:lpstr>
      <vt:lpstr>'Provozní náklady'!Oblast_tisku</vt:lpstr>
      <vt:lpstr>'Provozní výnosy'!Oblast_tisku</vt:lpstr>
      <vt:lpstr>'Zdroje financování'!Oblast_tisku</vt:lpstr>
    </vt:vector>
  </TitlesOfParts>
  <Company>ECM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Pospěchová</dc:creator>
  <cp:lastModifiedBy>Lukáš Melecký</cp:lastModifiedBy>
  <cp:lastPrinted>2015-12-29T15:16:51Z</cp:lastPrinted>
  <dcterms:created xsi:type="dcterms:W3CDTF">2012-03-20T19:26:49Z</dcterms:created>
  <dcterms:modified xsi:type="dcterms:W3CDTF">2025-10-08T16:43:41Z</dcterms:modified>
</cp:coreProperties>
</file>